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5.xml" ContentType="application/vnd.openxmlformats-officedocument.drawing+xml"/>
  <Override PartName="/xl/ctrlProps/ctrlProp2.xml" ContentType="application/vnd.ms-excel.controlproperties+xml"/>
  <Override PartName="/xl/ctrlProps/ctrlProp3.xml" ContentType="application/vnd.ms-excel.controlproperties+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trlProps/ctrlProp4.xml" ContentType="application/vnd.ms-excel.controlproperties+xml"/>
  <Override PartName="/xl/ctrlProps/ctrlProp5.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trlProps/ctrlProp6.xml" ContentType="application/vnd.ms-excel.controlproperties+xml"/>
  <Override PartName="/xl/ctrlProps/ctrlProp7.xml" ContentType="application/vnd.ms-excel.controlproperties+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55" windowWidth="9555" windowHeight="11955"/>
  </bookViews>
  <sheets>
    <sheet name="Contents" sheetId="13" r:id="rId1"/>
    <sheet name="Introduction" sheetId="12" r:id="rId2"/>
    <sheet name="Information" sheetId="11" r:id="rId3"/>
    <sheet name="Modality" sheetId="5" r:id="rId4"/>
    <sheet name="Age" sheetId="7" r:id="rId5"/>
    <sheet name="Stage" sheetId="8" r:id="rId6"/>
    <sheet name="Comorbidity" sheetId="10" r:id="rId7"/>
    <sheet name="Modality data" sheetId="1" state="veryHidden" r:id="rId8"/>
    <sheet name="Age data" sheetId="3" state="veryHidden" r:id="rId9"/>
    <sheet name="Stage data" sheetId="2" state="veryHidden" r:id="rId10"/>
    <sheet name="Comorb data" sheetId="4" state="veryHidden" r:id="rId11"/>
    <sheet name="Lookups" sheetId="6" state="veryHidden" r:id="rId12"/>
  </sheets>
  <externalReferences>
    <externalReference r:id="rId13"/>
    <externalReference r:id="rId14"/>
  </externalReferences>
  <definedNames>
    <definedName name="cancersites" localSheetId="0">'[1]Hide Selection'!$D$2:$D$44</definedName>
    <definedName name="cancersites" localSheetId="2">'[1]Hide Selection'!$D$2:$D$44</definedName>
    <definedName name="cancersites" localSheetId="1">'[1]Hide Selection'!$D$2:$D$44</definedName>
    <definedName name="cancersites">'[2]Hide Selection'!$D$2:$D$44</definedName>
    <definedName name="surv_month">'[1]Hide Selection'!$N$8</definedName>
  </definedNames>
  <calcPr calcId="145621"/>
</workbook>
</file>

<file path=xl/calcChain.xml><?xml version="1.0" encoding="utf-8"?>
<calcChain xmlns="http://schemas.openxmlformats.org/spreadsheetml/2006/main">
  <c r="C11" i="6" l="1"/>
  <c r="D8" i="10" s="1"/>
  <c r="D8" i="7" l="1"/>
  <c r="D8" i="8"/>
  <c r="A10" i="6" l="1"/>
  <c r="Y34" i="8" l="1"/>
  <c r="Y58" i="7"/>
  <c r="Y40" i="10"/>
  <c r="Y7" i="8"/>
  <c r="Y7" i="10"/>
  <c r="Y7" i="5"/>
  <c r="H3" i="6" s="1"/>
  <c r="Y7" i="7"/>
  <c r="D6" i="8"/>
  <c r="D6" i="10"/>
  <c r="D6" i="5"/>
  <c r="D6" i="7"/>
  <c r="H15" i="6" s="1"/>
  <c r="H6" i="6" l="1"/>
  <c r="H7" i="6"/>
  <c r="H14" i="6"/>
  <c r="H11" i="6"/>
  <c r="H10" i="6"/>
  <c r="A7" i="1"/>
  <c r="A15" i="1"/>
  <c r="A23" i="1"/>
  <c r="A33" i="1"/>
  <c r="A44" i="1"/>
  <c r="A29" i="4" l="1"/>
  <c r="A21" i="4"/>
  <c r="A13" i="4"/>
  <c r="A5" i="4"/>
  <c r="A250" i="3"/>
  <c r="A39" i="1"/>
  <c r="A31" i="1"/>
  <c r="A25" i="4"/>
  <c r="A17" i="4"/>
  <c r="A9" i="4"/>
  <c r="A165" i="4"/>
  <c r="A133" i="4"/>
  <c r="A117" i="4"/>
  <c r="A109" i="4"/>
  <c r="A101" i="4"/>
  <c r="A93" i="4"/>
  <c r="A85" i="4"/>
  <c r="A77" i="4"/>
  <c r="A69" i="4"/>
  <c r="A61" i="4"/>
  <c r="A53" i="4"/>
  <c r="A45" i="4"/>
  <c r="A37" i="4"/>
  <c r="A34" i="3"/>
  <c r="A26" i="3"/>
  <c r="A18" i="3"/>
  <c r="A10" i="3"/>
  <c r="A128" i="2"/>
  <c r="A119" i="2"/>
  <c r="A117" i="2"/>
  <c r="A115" i="2"/>
  <c r="A97" i="4"/>
  <c r="A89" i="4"/>
  <c r="A81" i="4"/>
  <c r="A73" i="4"/>
  <c r="A65" i="4"/>
  <c r="A57" i="4"/>
  <c r="A49" i="4"/>
  <c r="A41" i="4"/>
  <c r="A33" i="4"/>
  <c r="A158" i="4"/>
  <c r="A150" i="4"/>
  <c r="A126" i="4"/>
  <c r="A145" i="4"/>
  <c r="A129" i="4"/>
  <c r="A113" i="4"/>
  <c r="A105" i="4"/>
  <c r="A144" i="4"/>
  <c r="A128" i="4"/>
  <c r="A120" i="4"/>
  <c r="A112" i="4"/>
  <c r="A104" i="4"/>
  <c r="A96" i="4"/>
  <c r="A88" i="4"/>
  <c r="A80" i="4"/>
  <c r="A72" i="4"/>
  <c r="A64" i="4"/>
  <c r="A56" i="4"/>
  <c r="A48" i="4"/>
  <c r="A40" i="4"/>
  <c r="A32" i="4"/>
  <c r="A24" i="4"/>
  <c r="A16" i="4"/>
  <c r="A8" i="4"/>
  <c r="A134" i="4"/>
  <c r="A102" i="4"/>
  <c r="A78" i="4"/>
  <c r="A54" i="4"/>
  <c r="A30" i="4"/>
  <c r="A169" i="4"/>
  <c r="A153" i="4"/>
  <c r="A137" i="4"/>
  <c r="A121" i="4"/>
  <c r="A120" i="2"/>
  <c r="A118" i="2"/>
  <c r="A116" i="2"/>
  <c r="A114" i="2"/>
  <c r="A94" i="4"/>
  <c r="A62" i="4"/>
  <c r="A22" i="4"/>
  <c r="A118" i="4"/>
  <c r="A86" i="4"/>
  <c r="A46" i="4"/>
  <c r="A14" i="4"/>
  <c r="A142" i="4"/>
  <c r="A110" i="4"/>
  <c r="A70" i="4"/>
  <c r="A38" i="4"/>
  <c r="A6" i="4"/>
  <c r="A135" i="4"/>
  <c r="A127" i="4"/>
  <c r="A141" i="4"/>
  <c r="A125" i="4"/>
  <c r="A27" i="1"/>
  <c r="A148" i="4"/>
  <c r="A132" i="4"/>
  <c r="A116" i="4"/>
  <c r="A108" i="4"/>
  <c r="A100" i="4"/>
  <c r="A92" i="4"/>
  <c r="A84" i="4"/>
  <c r="A76" i="4"/>
  <c r="A68" i="4"/>
  <c r="A60" i="4"/>
  <c r="A52" i="4"/>
  <c r="A44" i="4"/>
  <c r="A36" i="4"/>
  <c r="A28" i="4"/>
  <c r="A20" i="4"/>
  <c r="A12" i="4"/>
  <c r="A4" i="4"/>
  <c r="A166" i="4"/>
  <c r="A139" i="4"/>
  <c r="A123" i="4"/>
  <c r="A162" i="4"/>
  <c r="A146" i="4"/>
  <c r="A138" i="4"/>
  <c r="A130" i="4"/>
  <c r="A122" i="4"/>
  <c r="A114" i="4"/>
  <c r="A106" i="4"/>
  <c r="A98" i="4"/>
  <c r="A90" i="4"/>
  <c r="A82" i="4"/>
  <c r="A74" i="4"/>
  <c r="A66" i="4"/>
  <c r="A58" i="4"/>
  <c r="A50" i="4"/>
  <c r="A42" i="4"/>
  <c r="A34" i="4"/>
  <c r="A26" i="4"/>
  <c r="A18" i="4"/>
  <c r="A10" i="4"/>
  <c r="A161" i="4"/>
  <c r="A168" i="4"/>
  <c r="A160" i="4"/>
  <c r="A152" i="4"/>
  <c r="A136" i="4"/>
  <c r="A22" i="1"/>
  <c r="A14" i="1"/>
  <c r="A6" i="1"/>
  <c r="A167" i="4"/>
  <c r="A159" i="4"/>
  <c r="A151" i="4"/>
  <c r="A143" i="4"/>
  <c r="A119" i="4"/>
  <c r="A111" i="4"/>
  <c r="A103" i="4"/>
  <c r="A95" i="4"/>
  <c r="A87" i="4"/>
  <c r="A79" i="4"/>
  <c r="A71" i="4"/>
  <c r="A63" i="4"/>
  <c r="A55" i="4"/>
  <c r="A47" i="4"/>
  <c r="A39" i="4"/>
  <c r="A31" i="4"/>
  <c r="A23" i="4"/>
  <c r="A15" i="4"/>
  <c r="A7" i="4"/>
  <c r="A157" i="4"/>
  <c r="A164" i="4"/>
  <c r="A156" i="4"/>
  <c r="A140" i="4"/>
  <c r="A149" i="4"/>
  <c r="A124" i="4"/>
  <c r="A233" i="3"/>
  <c r="A18" i="1"/>
  <c r="A10" i="1"/>
  <c r="A163" i="4"/>
  <c r="A155" i="4"/>
  <c r="A170" i="4"/>
  <c r="A154" i="4"/>
  <c r="A147" i="4"/>
  <c r="A131" i="4"/>
  <c r="A115" i="4"/>
  <c r="A107" i="4"/>
  <c r="A99" i="4"/>
  <c r="A91" i="4"/>
  <c r="A83" i="4"/>
  <c r="A75" i="4"/>
  <c r="A67" i="4"/>
  <c r="A59" i="4"/>
  <c r="A51" i="4"/>
  <c r="A43" i="4"/>
  <c r="A35" i="4"/>
  <c r="A27" i="4"/>
  <c r="A19" i="4"/>
  <c r="A11" i="4"/>
  <c r="A3" i="4"/>
  <c r="A248" i="3"/>
  <c r="A224" i="3"/>
  <c r="A127" i="2"/>
  <c r="A125" i="2"/>
  <c r="A123" i="2"/>
  <c r="A121" i="2"/>
  <c r="A112" i="2"/>
  <c r="A110" i="2"/>
  <c r="A108" i="2"/>
  <c r="A105" i="2"/>
  <c r="A103" i="2"/>
  <c r="A101" i="2"/>
  <c r="A98" i="2"/>
  <c r="A96" i="2"/>
  <c r="A94" i="2"/>
  <c r="A91" i="2"/>
  <c r="A89" i="2"/>
  <c r="A87" i="2"/>
  <c r="A85" i="2"/>
  <c r="A83" i="2"/>
  <c r="A81" i="2"/>
  <c r="A79" i="2"/>
  <c r="A77" i="2"/>
  <c r="A75" i="2"/>
  <c r="A73" i="2"/>
  <c r="A71" i="2"/>
  <c r="A69" i="2"/>
  <c r="A67" i="2"/>
  <c r="A65" i="2"/>
  <c r="A63" i="2"/>
  <c r="A61" i="2"/>
  <c r="A59" i="2"/>
  <c r="A57" i="2"/>
  <c r="A55" i="2"/>
  <c r="A53" i="2"/>
  <c r="A51" i="2"/>
  <c r="A49" i="2"/>
  <c r="A47" i="2"/>
  <c r="A45" i="2"/>
  <c r="A43" i="2"/>
  <c r="A41" i="2"/>
  <c r="A39" i="2"/>
  <c r="A37" i="2"/>
  <c r="A35" i="2"/>
  <c r="A33" i="2"/>
  <c r="A31" i="2"/>
  <c r="A29" i="2"/>
  <c r="A27" i="2"/>
  <c r="A25" i="2"/>
  <c r="A23" i="2"/>
  <c r="A21" i="2"/>
  <c r="A19" i="2"/>
  <c r="A17" i="2"/>
  <c r="A15" i="2"/>
  <c r="A13" i="2"/>
  <c r="A11" i="2"/>
  <c r="A9" i="2"/>
  <c r="A7" i="2"/>
  <c r="A5" i="2"/>
  <c r="A3" i="2"/>
  <c r="A222" i="3"/>
  <c r="A237" i="3"/>
  <c r="A252" i="3"/>
  <c r="A220" i="3"/>
  <c r="A253" i="3"/>
  <c r="A245" i="3"/>
  <c r="A229" i="3"/>
  <c r="A221" i="3"/>
  <c r="A213" i="3"/>
  <c r="A205" i="3"/>
  <c r="A197" i="3"/>
  <c r="A189" i="3"/>
  <c r="A181" i="3"/>
  <c r="A173" i="3"/>
  <c r="A165" i="3"/>
  <c r="A157" i="3"/>
  <c r="A149" i="3"/>
  <c r="A141" i="3"/>
  <c r="A133" i="3"/>
  <c r="A125" i="3"/>
  <c r="A117" i="3"/>
  <c r="A109" i="3"/>
  <c r="A101" i="3"/>
  <c r="A93" i="3"/>
  <c r="A85" i="3"/>
  <c r="A77" i="3"/>
  <c r="A69" i="3"/>
  <c r="A61" i="3"/>
  <c r="A53" i="3"/>
  <c r="A45" i="3"/>
  <c r="A37" i="3"/>
  <c r="A29" i="3"/>
  <c r="A21" i="3"/>
  <c r="A13" i="3"/>
  <c r="A5" i="3"/>
  <c r="A24" i="1"/>
  <c r="A16" i="1"/>
  <c r="A8" i="1"/>
  <c r="A38" i="1"/>
  <c r="A236" i="3"/>
  <c r="A126" i="2"/>
  <c r="A124" i="2"/>
  <c r="A122" i="2"/>
  <c r="A113" i="2"/>
  <c r="A111" i="2"/>
  <c r="A109" i="2"/>
  <c r="A107" i="2"/>
  <c r="A106" i="2"/>
  <c r="A104" i="2"/>
  <c r="A102" i="2"/>
  <c r="A100" i="2"/>
  <c r="A99" i="2"/>
  <c r="A97" i="2"/>
  <c r="A95" i="2"/>
  <c r="A93" i="2"/>
  <c r="A92" i="2"/>
  <c r="A90" i="2"/>
  <c r="A88" i="2"/>
  <c r="A86" i="2"/>
  <c r="A84" i="2"/>
  <c r="A82" i="2"/>
  <c r="A80" i="2"/>
  <c r="A78" i="2"/>
  <c r="A76" i="2"/>
  <c r="A74" i="2"/>
  <c r="A72" i="2"/>
  <c r="A70" i="2"/>
  <c r="A68" i="2"/>
  <c r="A66" i="2"/>
  <c r="A64" i="2"/>
  <c r="A62" i="2"/>
  <c r="A60" i="2"/>
  <c r="A58" i="2"/>
  <c r="A56" i="2"/>
  <c r="A54" i="2"/>
  <c r="A52" i="2"/>
  <c r="A50" i="2"/>
  <c r="A48" i="2"/>
  <c r="A46" i="2"/>
  <c r="A44" i="2"/>
  <c r="A42" i="2"/>
  <c r="A40" i="2"/>
  <c r="A38" i="2"/>
  <c r="A36" i="2"/>
  <c r="A34" i="2"/>
  <c r="A32" i="2"/>
  <c r="A30" i="2"/>
  <c r="A28" i="2"/>
  <c r="A26" i="2"/>
  <c r="A24" i="2"/>
  <c r="A22" i="2"/>
  <c r="A20" i="2"/>
  <c r="A18" i="2"/>
  <c r="A16" i="2"/>
  <c r="A14" i="2"/>
  <c r="A12" i="2"/>
  <c r="A10" i="2"/>
  <c r="A8" i="2"/>
  <c r="A6" i="2"/>
  <c r="A4" i="2"/>
  <c r="A209" i="3"/>
  <c r="A177" i="3"/>
  <c r="A225" i="3"/>
  <c r="A234" i="3"/>
  <c r="A249" i="3"/>
  <c r="A193" i="3"/>
  <c r="A239" i="3"/>
  <c r="A241" i="3"/>
  <c r="A217" i="3"/>
  <c r="A201" i="3"/>
  <c r="A185" i="3"/>
  <c r="A169" i="3"/>
  <c r="A161" i="3"/>
  <c r="A153" i="3"/>
  <c r="A145" i="3"/>
  <c r="A137" i="3"/>
  <c r="A129" i="3"/>
  <c r="A121" i="3"/>
  <c r="A113" i="3"/>
  <c r="A105" i="3"/>
  <c r="A97" i="3"/>
  <c r="A89" i="3"/>
  <c r="A81" i="3"/>
  <c r="A73" i="3"/>
  <c r="A65" i="3"/>
  <c r="A57" i="3"/>
  <c r="A49" i="3"/>
  <c r="A41" i="3"/>
  <c r="A33" i="3"/>
  <c r="A25" i="3"/>
  <c r="A17" i="3"/>
  <c r="A9" i="3"/>
  <c r="A254" i="3"/>
  <c r="A30" i="1"/>
  <c r="A244" i="3"/>
  <c r="A228" i="3"/>
  <c r="A212" i="3"/>
  <c r="A242" i="3"/>
  <c r="A226" i="3"/>
  <c r="A218" i="3"/>
  <c r="A210" i="3"/>
  <c r="A202" i="3"/>
  <c r="A194" i="3"/>
  <c r="A186" i="3"/>
  <c r="A178" i="3"/>
  <c r="A170" i="3"/>
  <c r="A162" i="3"/>
  <c r="A154" i="3"/>
  <c r="A146" i="3"/>
  <c r="A138" i="3"/>
  <c r="A130" i="3"/>
  <c r="A122" i="3"/>
  <c r="A114" i="3"/>
  <c r="A106" i="3"/>
  <c r="A98" i="3"/>
  <c r="A90" i="3"/>
  <c r="A82" i="3"/>
  <c r="A74" i="3"/>
  <c r="A66" i="3"/>
  <c r="A58" i="3"/>
  <c r="A50" i="3"/>
  <c r="A42" i="3"/>
  <c r="A204" i="3"/>
  <c r="A196" i="3"/>
  <c r="A188" i="3"/>
  <c r="A180" i="3"/>
  <c r="A172" i="3"/>
  <c r="A164" i="3"/>
  <c r="A156" i="3"/>
  <c r="A148" i="3"/>
  <c r="A140" i="3"/>
  <c r="A132" i="3"/>
  <c r="A124" i="3"/>
  <c r="A116" i="3"/>
  <c r="A108" i="3"/>
  <c r="A100" i="3"/>
  <c r="A92" i="3"/>
  <c r="A84" i="3"/>
  <c r="A76" i="3"/>
  <c r="A68" i="3"/>
  <c r="A60" i="3"/>
  <c r="A52" i="3"/>
  <c r="A44" i="3"/>
  <c r="A36" i="3"/>
  <c r="A28" i="3"/>
  <c r="A20" i="3"/>
  <c r="A12" i="3"/>
  <c r="A4" i="3"/>
  <c r="A21" i="1"/>
  <c r="A13" i="1"/>
  <c r="A5" i="1"/>
  <c r="A251" i="3"/>
  <c r="A243" i="3"/>
  <c r="A235" i="3"/>
  <c r="A227" i="3"/>
  <c r="A219" i="3"/>
  <c r="A211" i="3"/>
  <c r="A203" i="3"/>
  <c r="A195" i="3"/>
  <c r="A187" i="3"/>
  <c r="A179" i="3"/>
  <c r="A171" i="3"/>
  <c r="A163" i="3"/>
  <c r="A155" i="3"/>
  <c r="A147" i="3"/>
  <c r="A139" i="3"/>
  <c r="A131" i="3"/>
  <c r="A123" i="3"/>
  <c r="A115" i="3"/>
  <c r="A107" i="3"/>
  <c r="A99" i="3"/>
  <c r="A91" i="3"/>
  <c r="A83" i="3"/>
  <c r="A75" i="3"/>
  <c r="A67" i="3"/>
  <c r="A59" i="3"/>
  <c r="A51" i="3"/>
  <c r="A43" i="3"/>
  <c r="A35" i="3"/>
  <c r="A27" i="3"/>
  <c r="A19" i="3"/>
  <c r="A11" i="3"/>
  <c r="A3" i="3"/>
  <c r="A240" i="3"/>
  <c r="A232" i="3"/>
  <c r="A216" i="3"/>
  <c r="A208" i="3"/>
  <c r="A200" i="3"/>
  <c r="A192" i="3"/>
  <c r="A184" i="3"/>
  <c r="A176" i="3"/>
  <c r="A168" i="3"/>
  <c r="A160" i="3"/>
  <c r="A152" i="3"/>
  <c r="A144" i="3"/>
  <c r="A136" i="3"/>
  <c r="A128" i="3"/>
  <c r="A120" i="3"/>
  <c r="A112" i="3"/>
  <c r="A104" i="3"/>
  <c r="A96" i="3"/>
  <c r="A88" i="3"/>
  <c r="A80" i="3"/>
  <c r="A72" i="3"/>
  <c r="A64" i="3"/>
  <c r="A56" i="3"/>
  <c r="A48" i="3"/>
  <c r="A40" i="3"/>
  <c r="A32" i="3"/>
  <c r="A24" i="3"/>
  <c r="A16" i="3"/>
  <c r="A8" i="3"/>
  <c r="A247" i="3"/>
  <c r="A231" i="3"/>
  <c r="A223" i="3"/>
  <c r="A215" i="3"/>
  <c r="A207" i="3"/>
  <c r="A199" i="3"/>
  <c r="A191" i="3"/>
  <c r="A183" i="3"/>
  <c r="A175" i="3"/>
  <c r="A167" i="3"/>
  <c r="A159" i="3"/>
  <c r="A151" i="3"/>
  <c r="A143" i="3"/>
  <c r="A135" i="3"/>
  <c r="A127" i="3"/>
  <c r="A119" i="3"/>
  <c r="A111" i="3"/>
  <c r="A103" i="3"/>
  <c r="A95" i="3"/>
  <c r="A87" i="3"/>
  <c r="A79" i="3"/>
  <c r="A71" i="3"/>
  <c r="A63" i="3"/>
  <c r="A55" i="3"/>
  <c r="A47" i="3"/>
  <c r="A39" i="3"/>
  <c r="A31" i="3"/>
  <c r="A23" i="3"/>
  <c r="A15" i="3"/>
  <c r="A7" i="3"/>
  <c r="A26" i="1"/>
  <c r="A40" i="1"/>
  <c r="A32" i="1"/>
  <c r="A246" i="3"/>
  <c r="A238" i="3"/>
  <c r="A230" i="3"/>
  <c r="A214" i="3"/>
  <c r="A206" i="3"/>
  <c r="A198" i="3"/>
  <c r="A190" i="3"/>
  <c r="A182" i="3"/>
  <c r="A174" i="3"/>
  <c r="A166" i="3"/>
  <c r="A158" i="3"/>
  <c r="A150" i="3"/>
  <c r="A142" i="3"/>
  <c r="A134" i="3"/>
  <c r="A126" i="3"/>
  <c r="A118" i="3"/>
  <c r="A110" i="3"/>
  <c r="A102" i="3"/>
  <c r="A94" i="3"/>
  <c r="A86" i="3"/>
  <c r="A78" i="3"/>
  <c r="A70" i="3"/>
  <c r="A62" i="3"/>
  <c r="A54" i="3"/>
  <c r="A46" i="3"/>
  <c r="A38" i="3"/>
  <c r="A30" i="3"/>
  <c r="A22" i="3"/>
  <c r="A14" i="3"/>
  <c r="A6" i="3"/>
  <c r="A37" i="1"/>
  <c r="A29" i="1"/>
  <c r="A36" i="1"/>
  <c r="A28" i="1"/>
  <c r="A20" i="1"/>
  <c r="A12" i="1"/>
  <c r="A4" i="1"/>
  <c r="A43" i="1"/>
  <c r="A35" i="1"/>
  <c r="A19" i="1"/>
  <c r="A11" i="1"/>
  <c r="A3" i="1"/>
  <c r="A42" i="1"/>
  <c r="A34" i="1"/>
  <c r="A41" i="1"/>
  <c r="A25" i="1"/>
  <c r="A17" i="1"/>
  <c r="A9" i="1"/>
  <c r="AH62" i="8" l="1"/>
  <c r="AI62" i="8"/>
  <c r="AC62" i="8"/>
  <c r="AD61" i="8"/>
  <c r="AH61" i="8"/>
  <c r="AE62" i="8"/>
  <c r="AG62" i="8"/>
  <c r="AD62" i="8"/>
  <c r="AG61" i="8"/>
  <c r="AF62" i="8"/>
  <c r="AF61" i="8"/>
  <c r="AJ61" i="8"/>
  <c r="AJ62" i="8"/>
  <c r="AI61" i="8"/>
  <c r="AC61" i="8"/>
  <c r="AE61" i="8"/>
  <c r="W12" i="10" l="1"/>
  <c r="W10" i="10"/>
  <c r="W18" i="7" l="1"/>
  <c r="W10" i="7"/>
  <c r="W16" i="7"/>
  <c r="W12" i="7"/>
  <c r="W14" i="7"/>
  <c r="W8" i="10"/>
  <c r="AG37" i="10" l="1"/>
  <c r="AG73" i="10"/>
  <c r="AH65" i="10"/>
  <c r="AH12" i="10"/>
  <c r="AH72" i="10"/>
  <c r="AH29" i="10"/>
  <c r="AI9" i="7"/>
  <c r="AI72" i="7"/>
  <c r="AH51" i="10"/>
  <c r="AH17" i="10"/>
  <c r="AH19" i="10"/>
  <c r="AH61" i="10"/>
  <c r="AJ11" i="10"/>
  <c r="AJ60" i="10"/>
  <c r="AH55" i="10"/>
  <c r="AH10" i="10"/>
  <c r="AH16" i="10"/>
  <c r="AH46" i="10"/>
  <c r="AD19" i="10"/>
  <c r="AD61" i="10"/>
  <c r="AC19" i="10"/>
  <c r="AC61" i="10"/>
  <c r="AF25" i="10"/>
  <c r="AF52" i="10"/>
  <c r="AI53" i="10"/>
  <c r="AI33" i="10"/>
  <c r="AJ21" i="10"/>
  <c r="AJ71" i="10"/>
  <c r="AH37" i="10"/>
  <c r="AH73" i="10"/>
  <c r="AH13" i="10"/>
  <c r="AH70" i="10"/>
  <c r="AG37" i="7"/>
  <c r="AG103" i="7"/>
  <c r="AF40" i="10"/>
  <c r="AF7" i="10"/>
  <c r="H8" i="10"/>
  <c r="AE53" i="10"/>
  <c r="AE33" i="10"/>
  <c r="AC47" i="10"/>
  <c r="AC24" i="10"/>
  <c r="AE61" i="10"/>
  <c r="AE19" i="10"/>
  <c r="AC56" i="10"/>
  <c r="AC18" i="10"/>
  <c r="AJ63" i="10"/>
  <c r="AJ35" i="10"/>
  <c r="AD45" i="10"/>
  <c r="AD8" i="10"/>
  <c r="AF55" i="10"/>
  <c r="AF10" i="10"/>
  <c r="AI42" i="10"/>
  <c r="T12" i="10"/>
  <c r="AI23" i="10"/>
  <c r="AH33" i="10"/>
  <c r="AH53" i="10"/>
  <c r="AE71" i="10"/>
  <c r="AE21" i="10"/>
  <c r="AI15" i="10"/>
  <c r="AI41" i="10"/>
  <c r="T10" i="10"/>
  <c r="AJ56" i="10"/>
  <c r="AJ18" i="10"/>
  <c r="AF8" i="10"/>
  <c r="AF45" i="10"/>
  <c r="AD100" i="7"/>
  <c r="AD13" i="7"/>
  <c r="AC73" i="10"/>
  <c r="AC37" i="10"/>
  <c r="AF61" i="10"/>
  <c r="AF19" i="10"/>
  <c r="AE16" i="10"/>
  <c r="AE46" i="10"/>
  <c r="AI97" i="7"/>
  <c r="AI44" i="7"/>
  <c r="AF73" i="10"/>
  <c r="AF37" i="10"/>
  <c r="AC9" i="10"/>
  <c r="AC50" i="10"/>
  <c r="F14" i="10"/>
  <c r="AC31" i="10"/>
  <c r="AC43" i="10"/>
  <c r="AD51" i="10"/>
  <c r="AD17" i="10"/>
  <c r="AD50" i="7"/>
  <c r="AD84" i="7"/>
  <c r="AG74" i="7"/>
  <c r="AG25" i="7"/>
  <c r="AG7" i="10"/>
  <c r="J8" i="10"/>
  <c r="AG40" i="10"/>
  <c r="AG55" i="10"/>
  <c r="AG10" i="10"/>
  <c r="AC55" i="10"/>
  <c r="AC10" i="10"/>
  <c r="AJ70" i="10"/>
  <c r="AJ13" i="10"/>
  <c r="AC11" i="10"/>
  <c r="AC60" i="10"/>
  <c r="AD73" i="10"/>
  <c r="AD37" i="10"/>
  <c r="AJ61" i="10"/>
  <c r="AJ19" i="10"/>
  <c r="AG17" i="10"/>
  <c r="AG51" i="10"/>
  <c r="AD11" i="10"/>
  <c r="AD60" i="10"/>
  <c r="AF62" i="10"/>
  <c r="AF27" i="10"/>
  <c r="AE8" i="10"/>
  <c r="AE45" i="10"/>
  <c r="AF21" i="10"/>
  <c r="AF71" i="10"/>
  <c r="AJ41" i="10"/>
  <c r="R10" i="10"/>
  <c r="AJ15" i="10"/>
  <c r="AJ53" i="10"/>
  <c r="AJ33" i="10"/>
  <c r="AI8" i="10"/>
  <c r="AI45" i="10"/>
  <c r="AE11" i="10"/>
  <c r="AE60" i="10"/>
  <c r="AD7" i="10"/>
  <c r="N8" i="10"/>
  <c r="AD40" i="10"/>
  <c r="AG46" i="10"/>
  <c r="AG16" i="10"/>
  <c r="AD71" i="10"/>
  <c r="AD21" i="10"/>
  <c r="AG94" i="7"/>
  <c r="AG20" i="7"/>
  <c r="AJ50" i="10"/>
  <c r="AJ9" i="10"/>
  <c r="L8" i="10"/>
  <c r="AE40" i="10"/>
  <c r="AE7" i="10"/>
  <c r="AD65" i="10"/>
  <c r="AD12" i="10"/>
  <c r="AD46" i="10"/>
  <c r="AD16" i="10"/>
  <c r="AH43" i="10"/>
  <c r="AH31" i="10"/>
  <c r="P14" i="10"/>
  <c r="AG23" i="7"/>
  <c r="J12" i="7"/>
  <c r="AG60" i="7"/>
  <c r="AH35" i="10"/>
  <c r="AH63" i="10"/>
  <c r="AF23" i="10"/>
  <c r="H12" i="10"/>
  <c r="AF42" i="10"/>
  <c r="AG33" i="10"/>
  <c r="AG53" i="10"/>
  <c r="AC12" i="10"/>
  <c r="AC65" i="10"/>
  <c r="AE13" i="10"/>
  <c r="AE70" i="10"/>
  <c r="AH9" i="10"/>
  <c r="AH50" i="10"/>
  <c r="AG65" i="10"/>
  <c r="AG12" i="10"/>
  <c r="AJ65" i="10"/>
  <c r="AJ12" i="10"/>
  <c r="AE25" i="10"/>
  <c r="AE52" i="10"/>
  <c r="AI46" i="10"/>
  <c r="AI16" i="10"/>
  <c r="AD18" i="10"/>
  <c r="AD56" i="10"/>
  <c r="N10" i="10"/>
  <c r="AD15" i="10"/>
  <c r="AD41" i="10"/>
  <c r="AG61" i="10"/>
  <c r="AG19" i="10"/>
  <c r="AC51" i="10"/>
  <c r="AC17" i="10"/>
  <c r="AI7" i="10"/>
  <c r="T8" i="10"/>
  <c r="AI40" i="10"/>
  <c r="AF65" i="10"/>
  <c r="AF12" i="10"/>
  <c r="AF51" i="10"/>
  <c r="AF17" i="10"/>
  <c r="AI65" i="10"/>
  <c r="AI12" i="10"/>
  <c r="AE41" i="10"/>
  <c r="AE15" i="10"/>
  <c r="L10" i="10"/>
  <c r="AH11" i="10"/>
  <c r="AH60" i="10"/>
  <c r="AD48" i="10"/>
  <c r="AD32" i="10"/>
  <c r="F8" i="10"/>
  <c r="AC40" i="10"/>
  <c r="AC7" i="10"/>
  <c r="AI24" i="7"/>
  <c r="AI67" i="7"/>
  <c r="AE12" i="10"/>
  <c r="AE65" i="10"/>
  <c r="AI13" i="10"/>
  <c r="AI70" i="10"/>
  <c r="AI48" i="10"/>
  <c r="AI32" i="10"/>
  <c r="AD66" i="10"/>
  <c r="AD20" i="10"/>
  <c r="AG29" i="10"/>
  <c r="AG72" i="10"/>
  <c r="AH15" i="10"/>
  <c r="AH41" i="10"/>
  <c r="P10" i="10"/>
  <c r="AH66" i="10"/>
  <c r="AH20" i="10"/>
  <c r="AI60" i="10"/>
  <c r="AI11" i="10"/>
  <c r="AG17" i="7"/>
  <c r="AG73" i="7"/>
  <c r="AH40" i="10"/>
  <c r="AH7" i="10"/>
  <c r="P8" i="10"/>
  <c r="AD19" i="7"/>
  <c r="AD87" i="7"/>
  <c r="AJ46" i="10"/>
  <c r="AJ16" i="10"/>
  <c r="AG57" i="10"/>
  <c r="AG26" i="10"/>
  <c r="AH23" i="10"/>
  <c r="P12" i="10"/>
  <c r="AH42" i="10"/>
  <c r="AG52" i="10"/>
  <c r="AG25" i="10"/>
  <c r="AI55" i="10"/>
  <c r="AI10" i="10"/>
  <c r="AF70" i="10"/>
  <c r="AF13" i="10"/>
  <c r="AG13" i="10"/>
  <c r="AG70" i="10"/>
  <c r="AC70" i="10"/>
  <c r="AC13" i="10"/>
  <c r="AJ40" i="10"/>
  <c r="AJ7" i="10"/>
  <c r="R8" i="10"/>
  <c r="AD62" i="10"/>
  <c r="AD27" i="10"/>
  <c r="AE20" i="10"/>
  <c r="AE66" i="10"/>
  <c r="W8" i="7"/>
  <c r="W10" i="8"/>
  <c r="W12" i="8"/>
  <c r="AE24" i="7" l="1"/>
  <c r="AE67" i="7"/>
  <c r="L12" i="7"/>
  <c r="AE60" i="7"/>
  <c r="AE23" i="7"/>
  <c r="AD44" i="7"/>
  <c r="AD97" i="7"/>
  <c r="AE69" i="7"/>
  <c r="AE40" i="7"/>
  <c r="AG104" i="7"/>
  <c r="AG45" i="7"/>
  <c r="AG96" i="7"/>
  <c r="AG36" i="7"/>
  <c r="AF10" i="7"/>
  <c r="AF79" i="7"/>
  <c r="AE17" i="7"/>
  <c r="AE73" i="7"/>
  <c r="AC86" i="7"/>
  <c r="AC11" i="7"/>
  <c r="AI34" i="7"/>
  <c r="AI82" i="7"/>
  <c r="AC101" i="7"/>
  <c r="AC21" i="7"/>
  <c r="AG23" i="10"/>
  <c r="J12" i="10"/>
  <c r="AG42" i="10"/>
  <c r="AI66" i="10"/>
  <c r="AI20" i="10"/>
  <c r="AE82" i="7"/>
  <c r="AE34" i="7"/>
  <c r="AF48" i="7"/>
  <c r="AF70" i="7"/>
  <c r="AF84" i="7"/>
  <c r="AF50" i="7"/>
  <c r="AC65" i="7"/>
  <c r="AC8" i="7"/>
  <c r="AC84" i="7"/>
  <c r="AC50" i="7"/>
  <c r="AG33" i="7"/>
  <c r="AG75" i="7"/>
  <c r="AC32" i="7"/>
  <c r="AC68" i="7"/>
  <c r="AC93" i="7"/>
  <c r="AC12" i="7"/>
  <c r="AH60" i="7"/>
  <c r="P12" i="7"/>
  <c r="AH23" i="7"/>
  <c r="AI53" i="7"/>
  <c r="AI105" i="7"/>
  <c r="AH19" i="7"/>
  <c r="AH87" i="7"/>
  <c r="AJ57" i="10"/>
  <c r="AJ26" i="10"/>
  <c r="AE29" i="10"/>
  <c r="AE72" i="10"/>
  <c r="AF63" i="10"/>
  <c r="AF35" i="10"/>
  <c r="D2" i="10"/>
  <c r="F9" i="10"/>
  <c r="G9" i="10"/>
  <c r="V8" i="10"/>
  <c r="AD72" i="10"/>
  <c r="AD29" i="10"/>
  <c r="K13" i="7"/>
  <c r="J13" i="7"/>
  <c r="AI63" i="10"/>
  <c r="AI35" i="10"/>
  <c r="F15" i="10"/>
  <c r="H9" i="10"/>
  <c r="I9" i="10"/>
  <c r="AE18" i="10"/>
  <c r="AE56" i="10"/>
  <c r="AI17" i="10"/>
  <c r="AI51" i="10"/>
  <c r="AD13" i="10"/>
  <c r="AD70" i="10"/>
  <c r="AH105" i="7"/>
  <c r="AH53" i="7"/>
  <c r="AJ35" i="7"/>
  <c r="AJ89" i="7"/>
  <c r="AJ20" i="7"/>
  <c r="AJ94" i="7"/>
  <c r="AE29" i="7"/>
  <c r="AE102" i="7"/>
  <c r="AJ26" i="7"/>
  <c r="AJ81" i="7"/>
  <c r="AH84" i="7"/>
  <c r="AH50" i="7"/>
  <c r="AE91" i="7"/>
  <c r="AE51" i="7"/>
  <c r="AI81" i="7"/>
  <c r="AI26" i="7"/>
  <c r="AG43" i="7"/>
  <c r="AG90" i="7"/>
  <c r="AJ73" i="7"/>
  <c r="AJ17" i="7"/>
  <c r="AC80" i="7"/>
  <c r="AC18" i="7"/>
  <c r="AJ23" i="7"/>
  <c r="AJ60" i="7"/>
  <c r="R12" i="7"/>
  <c r="AC24" i="7"/>
  <c r="AC67" i="7"/>
  <c r="AD77" i="7"/>
  <c r="AD49" i="7"/>
  <c r="AJ24" i="10"/>
  <c r="AJ47" i="10"/>
  <c r="AF57" i="10"/>
  <c r="AF26" i="10"/>
  <c r="AG31" i="10"/>
  <c r="AG43" i="10"/>
  <c r="J14" i="10"/>
  <c r="AE11" i="7"/>
  <c r="AE86" i="7"/>
  <c r="AG16" i="7"/>
  <c r="AG66" i="7"/>
  <c r="AF105" i="7"/>
  <c r="AF53" i="7"/>
  <c r="AD35" i="7"/>
  <c r="AD89" i="7"/>
  <c r="F18" i="7"/>
  <c r="AC63" i="7"/>
  <c r="AC47" i="7"/>
  <c r="AD72" i="7"/>
  <c r="AD9" i="7"/>
  <c r="AJ31" i="7"/>
  <c r="R14" i="7"/>
  <c r="AJ61" i="7"/>
  <c r="AF29" i="7"/>
  <c r="AF102" i="7"/>
  <c r="AD81" i="7"/>
  <c r="AD26" i="7"/>
  <c r="AF72" i="7"/>
  <c r="AF9" i="7"/>
  <c r="AF69" i="7"/>
  <c r="AF40" i="7"/>
  <c r="AH104" i="7"/>
  <c r="AH45" i="7"/>
  <c r="AG80" i="7"/>
  <c r="AG18" i="7"/>
  <c r="AD45" i="7"/>
  <c r="AD104" i="7"/>
  <c r="AG10" i="7"/>
  <c r="AG79" i="7"/>
  <c r="AJ68" i="7"/>
  <c r="AJ32" i="7"/>
  <c r="AE52" i="7"/>
  <c r="AE98" i="7"/>
  <c r="AJ13" i="7"/>
  <c r="AJ100" i="7"/>
  <c r="AF28" i="7"/>
  <c r="AF95" i="7"/>
  <c r="AC17" i="7"/>
  <c r="AC73" i="7"/>
  <c r="AD25" i="7"/>
  <c r="AD74" i="7"/>
  <c r="AF18" i="7"/>
  <c r="AF80" i="7"/>
  <c r="AE76" i="7"/>
  <c r="AE41" i="7"/>
  <c r="AH66" i="7"/>
  <c r="AH16" i="7"/>
  <c r="H16" i="7"/>
  <c r="AF39" i="7"/>
  <c r="AF62" i="7"/>
  <c r="AJ86" i="7"/>
  <c r="AJ11" i="7"/>
  <c r="AH13" i="7"/>
  <c r="AH100" i="7"/>
  <c r="AG21" i="7"/>
  <c r="AG101" i="7"/>
  <c r="AD21" i="7"/>
  <c r="AD101" i="7"/>
  <c r="AF37" i="7"/>
  <c r="AF103" i="7"/>
  <c r="AG52" i="7"/>
  <c r="AG98" i="7"/>
  <c r="AE103" i="7"/>
  <c r="AE37" i="7"/>
  <c r="AF47" i="7"/>
  <c r="AF63" i="7"/>
  <c r="H18" i="7"/>
  <c r="AF100" i="7"/>
  <c r="AF13" i="7"/>
  <c r="AJ88" i="7"/>
  <c r="AJ27" i="7"/>
  <c r="AD24" i="7"/>
  <c r="AD67" i="7"/>
  <c r="AD69" i="7"/>
  <c r="AD40" i="7"/>
  <c r="J14" i="7"/>
  <c r="AG61" i="7"/>
  <c r="AG31" i="7"/>
  <c r="AE81" i="7"/>
  <c r="AE26" i="7"/>
  <c r="AJ65" i="7"/>
  <c r="AJ8" i="7"/>
  <c r="AC81" i="7"/>
  <c r="AC26" i="7"/>
  <c r="AI8" i="7"/>
  <c r="AI65" i="7"/>
  <c r="AI40" i="7"/>
  <c r="AI69" i="7"/>
  <c r="J16" i="7"/>
  <c r="AG39" i="7"/>
  <c r="AG62" i="7"/>
  <c r="AJ10" i="7"/>
  <c r="AJ79" i="7"/>
  <c r="AJ18" i="7"/>
  <c r="AJ80" i="7"/>
  <c r="AJ104" i="7"/>
  <c r="AJ45" i="7"/>
  <c r="AE75" i="7"/>
  <c r="AE33" i="7"/>
  <c r="AH79" i="7"/>
  <c r="AH10" i="7"/>
  <c r="AE32" i="7"/>
  <c r="AE68" i="7"/>
  <c r="AD17" i="7"/>
  <c r="AD73" i="7"/>
  <c r="AE35" i="7"/>
  <c r="AE89" i="7"/>
  <c r="AJ96" i="7"/>
  <c r="AJ36" i="7"/>
  <c r="AF101" i="7"/>
  <c r="AF21" i="7"/>
  <c r="AE100" i="7"/>
  <c r="AE13" i="7"/>
  <c r="AJ74" i="7"/>
  <c r="AJ25" i="7"/>
  <c r="AJ83" i="7"/>
  <c r="AJ42" i="7"/>
  <c r="AC79" i="7"/>
  <c r="AC10" i="7"/>
  <c r="AH76" i="7"/>
  <c r="AH41" i="7"/>
  <c r="AE66" i="7"/>
  <c r="AE16" i="7"/>
  <c r="AD62" i="7"/>
  <c r="N16" i="7"/>
  <c r="AD39" i="7"/>
  <c r="AD28" i="7"/>
  <c r="AD95" i="7"/>
  <c r="AJ34" i="7"/>
  <c r="AJ82" i="7"/>
  <c r="AJ28" i="7"/>
  <c r="AJ95" i="7"/>
  <c r="AF74" i="7"/>
  <c r="AF25" i="7"/>
  <c r="AE43" i="7"/>
  <c r="AE90" i="7"/>
  <c r="AD57" i="10"/>
  <c r="AD26" i="10"/>
  <c r="AE31" i="10"/>
  <c r="AE43" i="10"/>
  <c r="L14" i="10"/>
  <c r="AF50" i="10"/>
  <c r="AF9" i="10"/>
  <c r="AJ23" i="10"/>
  <c r="AJ42" i="10"/>
  <c r="R12" i="10"/>
  <c r="AC20" i="10"/>
  <c r="AC66" i="10"/>
  <c r="AF16" i="10"/>
  <c r="AF46" i="10"/>
  <c r="AE63" i="10"/>
  <c r="AE35" i="10"/>
  <c r="AG18" i="10"/>
  <c r="AG56" i="10"/>
  <c r="AI71" i="10"/>
  <c r="AI21" i="10"/>
  <c r="AG20" i="10"/>
  <c r="AG66" i="10"/>
  <c r="AG11" i="10"/>
  <c r="AG60" i="10"/>
  <c r="AJ76" i="7"/>
  <c r="AJ41" i="7"/>
  <c r="AD15" i="7"/>
  <c r="AD59" i="7"/>
  <c r="N10" i="7"/>
  <c r="AH40" i="7"/>
  <c r="AH69" i="7"/>
  <c r="AH81" i="7"/>
  <c r="AH26" i="7"/>
  <c r="AC45" i="7"/>
  <c r="AC104" i="7"/>
  <c r="AJ7" i="7"/>
  <c r="R8" i="7"/>
  <c r="AJ58" i="7"/>
  <c r="AG87" i="7"/>
  <c r="AG19" i="7"/>
  <c r="AI100" i="7"/>
  <c r="AI13" i="7"/>
  <c r="AI41" i="7"/>
  <c r="AI76" i="7"/>
  <c r="AE15" i="7"/>
  <c r="L10" i="7"/>
  <c r="AE59" i="7"/>
  <c r="AI52" i="10"/>
  <c r="AI25" i="10"/>
  <c r="AE42" i="10"/>
  <c r="L12" i="10"/>
  <c r="AE23" i="10"/>
  <c r="AF60" i="10"/>
  <c r="AF11" i="10"/>
  <c r="AJ62" i="10"/>
  <c r="AJ27" i="10"/>
  <c r="AC53" i="10"/>
  <c r="AC33" i="10"/>
  <c r="AH25" i="10"/>
  <c r="AH52" i="10"/>
  <c r="AD55" i="10"/>
  <c r="AD10" i="10"/>
  <c r="T13" i="10"/>
  <c r="U13" i="10"/>
  <c r="AF60" i="7"/>
  <c r="H12" i="7"/>
  <c r="AF23" i="7"/>
  <c r="AI96" i="7"/>
  <c r="AI36" i="7"/>
  <c r="AG34" i="7"/>
  <c r="AG82" i="7"/>
  <c r="AH98" i="7"/>
  <c r="AH52" i="7"/>
  <c r="AJ53" i="7"/>
  <c r="AJ105" i="7"/>
  <c r="AF16" i="7"/>
  <c r="AF66" i="7"/>
  <c r="AG88" i="7"/>
  <c r="AG27" i="7"/>
  <c r="AD52" i="7"/>
  <c r="AD98" i="7"/>
  <c r="N14" i="7"/>
  <c r="AD31" i="7"/>
  <c r="AD61" i="7"/>
  <c r="AJ102" i="7"/>
  <c r="AJ29" i="7"/>
  <c r="AH97" i="7"/>
  <c r="AH44" i="7"/>
  <c r="AH65" i="7"/>
  <c r="AH8" i="7"/>
  <c r="AE72" i="7"/>
  <c r="AE9" i="7"/>
  <c r="AD94" i="7"/>
  <c r="AD20" i="7"/>
  <c r="AG40" i="7"/>
  <c r="AG69" i="7"/>
  <c r="AC62" i="7"/>
  <c r="F16" i="7"/>
  <c r="AC39" i="7"/>
  <c r="AF58" i="7"/>
  <c r="AF7" i="7"/>
  <c r="H8" i="7"/>
  <c r="AG51" i="7"/>
  <c r="AG91" i="7"/>
  <c r="AE104" i="7"/>
  <c r="AE45" i="7"/>
  <c r="AD75" i="7"/>
  <c r="AD33" i="7"/>
  <c r="AI7" i="7"/>
  <c r="AI58" i="7"/>
  <c r="T8" i="7"/>
  <c r="AI32" i="7"/>
  <c r="AI68" i="7"/>
  <c r="AG13" i="7"/>
  <c r="AG100" i="7"/>
  <c r="AI17" i="7"/>
  <c r="AI73" i="7"/>
  <c r="AF59" i="7"/>
  <c r="AF15" i="7"/>
  <c r="H10" i="7"/>
  <c r="AH17" i="7"/>
  <c r="AH73" i="7"/>
  <c r="AI98" i="7"/>
  <c r="AI52" i="7"/>
  <c r="AG70" i="7"/>
  <c r="AG48" i="7"/>
  <c r="AF42" i="7"/>
  <c r="AF83" i="7"/>
  <c r="AC88" i="7"/>
  <c r="AC27" i="7"/>
  <c r="AF76" i="7"/>
  <c r="AF41" i="7"/>
  <c r="AI88" i="7"/>
  <c r="AI27" i="7"/>
  <c r="AE87" i="7"/>
  <c r="AE19" i="7"/>
  <c r="AH95" i="7"/>
  <c r="AH28" i="7"/>
  <c r="AJ43" i="7"/>
  <c r="AJ90" i="7"/>
  <c r="AG28" i="7"/>
  <c r="AG95" i="7"/>
  <c r="AH11" i="7"/>
  <c r="AH86" i="7"/>
  <c r="AI90" i="7"/>
  <c r="AI43" i="7"/>
  <c r="AE26" i="10"/>
  <c r="AE57" i="10"/>
  <c r="W14" i="10"/>
  <c r="N14" i="10"/>
  <c r="AD43" i="10"/>
  <c r="AD31" i="10"/>
  <c r="AD16" i="7"/>
  <c r="AD66" i="7"/>
  <c r="AD35" i="10"/>
  <c r="AD63" i="10"/>
  <c r="J10" i="10"/>
  <c r="AG15" i="10"/>
  <c r="AG41" i="10"/>
  <c r="AD23" i="10"/>
  <c r="N12" i="10"/>
  <c r="AD42" i="10"/>
  <c r="AJ72" i="10"/>
  <c r="AJ29" i="10"/>
  <c r="AH21" i="10"/>
  <c r="AH71" i="10"/>
  <c r="AJ10" i="10"/>
  <c r="AJ55" i="10"/>
  <c r="AE51" i="10"/>
  <c r="AE17" i="10"/>
  <c r="AC35" i="10"/>
  <c r="AC63" i="10"/>
  <c r="AI23" i="7"/>
  <c r="AI60" i="7"/>
  <c r="T12" i="7"/>
  <c r="AC96" i="7"/>
  <c r="AC36" i="7"/>
  <c r="AH34" i="7"/>
  <c r="AH82" i="7"/>
  <c r="AC16" i="7"/>
  <c r="AC66" i="7"/>
  <c r="AG47" i="7"/>
  <c r="AG63" i="7"/>
  <c r="J18" i="7"/>
  <c r="AJ49" i="7"/>
  <c r="AJ77" i="7"/>
  <c r="AH96" i="7"/>
  <c r="AH36" i="7"/>
  <c r="AH77" i="7"/>
  <c r="AH49" i="7"/>
  <c r="AF8" i="7"/>
  <c r="AF65" i="7"/>
  <c r="AG29" i="7"/>
  <c r="AG102" i="7"/>
  <c r="AC97" i="7"/>
  <c r="AC44" i="7"/>
  <c r="AE65" i="7"/>
  <c r="AE8" i="7"/>
  <c r="AC72" i="7"/>
  <c r="AC9" i="7"/>
  <c r="AE94" i="7"/>
  <c r="AE20" i="7"/>
  <c r="AC69" i="7"/>
  <c r="AC40" i="7"/>
  <c r="AI62" i="7"/>
  <c r="T16" i="7"/>
  <c r="AI39" i="7"/>
  <c r="N8" i="7"/>
  <c r="AD58" i="7"/>
  <c r="AD7" i="7"/>
  <c r="AJ51" i="7"/>
  <c r="AJ91" i="7"/>
  <c r="AI45" i="7"/>
  <c r="AI104" i="7"/>
  <c r="AJ75" i="7"/>
  <c r="AJ33" i="7"/>
  <c r="AG7" i="7"/>
  <c r="AG58" i="7"/>
  <c r="J8" i="7"/>
  <c r="AG68" i="7"/>
  <c r="AG32" i="7"/>
  <c r="AJ101" i="7"/>
  <c r="AJ21" i="7"/>
  <c r="AJ12" i="7"/>
  <c r="AJ93" i="7"/>
  <c r="AC37" i="7"/>
  <c r="AC103" i="7"/>
  <c r="AG93" i="7"/>
  <c r="AG12" i="7"/>
  <c r="AF24" i="7"/>
  <c r="AF67" i="7"/>
  <c r="AD48" i="7"/>
  <c r="AD70" i="7"/>
  <c r="AH42" i="7"/>
  <c r="AH83" i="7"/>
  <c r="AJ84" i="7"/>
  <c r="AJ50" i="7"/>
  <c r="AC76" i="7"/>
  <c r="AC41" i="7"/>
  <c r="AH27" i="7"/>
  <c r="AH88" i="7"/>
  <c r="AC59" i="7"/>
  <c r="AC15" i="7"/>
  <c r="F10" i="7"/>
  <c r="AC25" i="7"/>
  <c r="AC74" i="7"/>
  <c r="AI86" i="7"/>
  <c r="AI11" i="7"/>
  <c r="AC35" i="7"/>
  <c r="AC89" i="7"/>
  <c r="AE74" i="7"/>
  <c r="AE25" i="7"/>
  <c r="AC43" i="7"/>
  <c r="AC90" i="7"/>
  <c r="AH24" i="10"/>
  <c r="AH47" i="10"/>
  <c r="AI57" i="10"/>
  <c r="AI26" i="10"/>
  <c r="AI31" i="10"/>
  <c r="AI43" i="10"/>
  <c r="T14" i="10"/>
  <c r="AE58" i="7"/>
  <c r="AE7" i="7"/>
  <c r="L8" i="7"/>
  <c r="AF81" i="7"/>
  <c r="AF26" i="7"/>
  <c r="AG71" i="10"/>
  <c r="AG21" i="10"/>
  <c r="P11" i="10"/>
  <c r="Q11" i="10"/>
  <c r="AJ45" i="10"/>
  <c r="AJ8" i="10"/>
  <c r="M11" i="10"/>
  <c r="L11" i="10"/>
  <c r="AI50" i="10"/>
  <c r="AI9" i="10"/>
  <c r="AG35" i="10"/>
  <c r="AG63" i="10"/>
  <c r="L9" i="10"/>
  <c r="M9" i="10"/>
  <c r="O9" i="10"/>
  <c r="N9" i="10"/>
  <c r="AJ51" i="10"/>
  <c r="AJ17" i="10"/>
  <c r="AG62" i="10"/>
  <c r="AG27" i="10"/>
  <c r="AD53" i="10"/>
  <c r="AD33" i="10"/>
  <c r="F10" i="10"/>
  <c r="AC41" i="10"/>
  <c r="AC15" i="10"/>
  <c r="AH45" i="10"/>
  <c r="AH8" i="10"/>
  <c r="AC16" i="10"/>
  <c r="AC46" i="10"/>
  <c r="F8" i="7"/>
  <c r="AC58" i="7"/>
  <c r="AC7" i="7"/>
  <c r="AI21" i="7"/>
  <c r="AI101" i="7"/>
  <c r="AF31" i="7"/>
  <c r="H14" i="7"/>
  <c r="AF61" i="7"/>
  <c r="AF20" i="7"/>
  <c r="AF94" i="7"/>
  <c r="AI91" i="7"/>
  <c r="AI51" i="7"/>
  <c r="AF68" i="7"/>
  <c r="AF32" i="7"/>
  <c r="AJ87" i="7"/>
  <c r="AJ19" i="7"/>
  <c r="AI84" i="7"/>
  <c r="AI50" i="7"/>
  <c r="AE88" i="7"/>
  <c r="AE27" i="7"/>
  <c r="AG11" i="7"/>
  <c r="AG86" i="7"/>
  <c r="AJ69" i="7"/>
  <c r="AJ40" i="7"/>
  <c r="AH37" i="7"/>
  <c r="AH103" i="7"/>
  <c r="AF77" i="7"/>
  <c r="AF49" i="7"/>
  <c r="AD63" i="7"/>
  <c r="AD47" i="7"/>
  <c r="N18" i="7"/>
  <c r="AC51" i="7"/>
  <c r="AC91" i="7"/>
  <c r="AE44" i="7"/>
  <c r="AE97" i="7"/>
  <c r="AI20" i="7"/>
  <c r="AI94" i="7"/>
  <c r="AE62" i="7"/>
  <c r="AE39" i="7"/>
  <c r="L16" i="7"/>
  <c r="AD51" i="7"/>
  <c r="AD91" i="7"/>
  <c r="AF97" i="7"/>
  <c r="AF44" i="7"/>
  <c r="AF87" i="7"/>
  <c r="AF19" i="7"/>
  <c r="AJ63" i="7"/>
  <c r="AJ47" i="7"/>
  <c r="R18" i="7"/>
  <c r="AD105" i="7"/>
  <c r="AD53" i="7"/>
  <c r="AG89" i="7"/>
  <c r="AG35" i="7"/>
  <c r="L18" i="7"/>
  <c r="AE63" i="7"/>
  <c r="AE47" i="7"/>
  <c r="AH47" i="7"/>
  <c r="P18" i="7"/>
  <c r="AH63" i="7"/>
  <c r="AF24" i="10"/>
  <c r="AF47" i="10"/>
  <c r="R10" i="7"/>
  <c r="AJ15" i="7"/>
  <c r="AJ59" i="7"/>
  <c r="AD36" i="7"/>
  <c r="AD96" i="7"/>
  <c r="AE70" i="7"/>
  <c r="AE48" i="7"/>
  <c r="AI66" i="7"/>
  <c r="AI16" i="7"/>
  <c r="AG97" i="7"/>
  <c r="AG44" i="7"/>
  <c r="AC20" i="7"/>
  <c r="AC94" i="7"/>
  <c r="AJ62" i="7"/>
  <c r="AJ39" i="7"/>
  <c r="R16" i="7"/>
  <c r="AF33" i="7"/>
  <c r="AF75" i="7"/>
  <c r="AI37" i="7"/>
  <c r="AI103" i="7"/>
  <c r="AI74" i="7"/>
  <c r="AI25" i="7"/>
  <c r="AC60" i="7"/>
  <c r="F12" i="7"/>
  <c r="D2" i="7" s="1"/>
  <c r="AC23" i="7"/>
  <c r="AH29" i="7"/>
  <c r="AH102" i="7"/>
  <c r="AG59" i="7"/>
  <c r="AG15" i="7"/>
  <c r="J10" i="7"/>
  <c r="AJ31" i="10"/>
  <c r="AJ43" i="10"/>
  <c r="R14" i="10"/>
  <c r="AE67" i="10"/>
  <c r="AE28" i="10"/>
  <c r="AD24" i="10"/>
  <c r="AD47" i="10"/>
  <c r="AG65" i="7"/>
  <c r="AG8" i="7"/>
  <c r="AE105" i="7"/>
  <c r="AE53" i="7"/>
  <c r="AD93" i="7"/>
  <c r="AD12" i="7"/>
  <c r="P13" i="10"/>
  <c r="Q13" i="10"/>
  <c r="AJ25" i="10"/>
  <c r="AJ52" i="10"/>
  <c r="AG9" i="10"/>
  <c r="AG50" i="10"/>
  <c r="T9" i="10"/>
  <c r="U9" i="10"/>
  <c r="AI62" i="10"/>
  <c r="AI27" i="10"/>
  <c r="AJ37" i="10"/>
  <c r="AJ73" i="10"/>
  <c r="AG45" i="10"/>
  <c r="AG8" i="10"/>
  <c r="AC21" i="10"/>
  <c r="AC71" i="10"/>
  <c r="AE9" i="10"/>
  <c r="AE50" i="10"/>
  <c r="AC52" i="10"/>
  <c r="AC25" i="10"/>
  <c r="AJ52" i="7"/>
  <c r="AJ98" i="7"/>
  <c r="AC34" i="7"/>
  <c r="AC82" i="7"/>
  <c r="AC70" i="7"/>
  <c r="AC48" i="7"/>
  <c r="AJ48" i="7"/>
  <c r="AJ70" i="7"/>
  <c r="AH59" i="7"/>
  <c r="AH15" i="7"/>
  <c r="P10" i="7"/>
  <c r="AF17" i="7"/>
  <c r="AF73" i="7"/>
  <c r="AH25" i="7"/>
  <c r="AH74" i="7"/>
  <c r="AH51" i="7"/>
  <c r="AH91" i="7"/>
  <c r="AE61" i="7"/>
  <c r="AE31" i="7"/>
  <c r="L14" i="7"/>
  <c r="AC102" i="7"/>
  <c r="AC29" i="7"/>
  <c r="AJ97" i="7"/>
  <c r="AJ44" i="7"/>
  <c r="AG26" i="7"/>
  <c r="AG81" i="7"/>
  <c r="AG72" i="7"/>
  <c r="AG9" i="7"/>
  <c r="AH94" i="7"/>
  <c r="AH20" i="7"/>
  <c r="AE50" i="7"/>
  <c r="AE84" i="7"/>
  <c r="AD68" i="7"/>
  <c r="AD32" i="7"/>
  <c r="AE18" i="7"/>
  <c r="AE80" i="7"/>
  <c r="AF104" i="7"/>
  <c r="AF45" i="7"/>
  <c r="AH33" i="7"/>
  <c r="AH75" i="7"/>
  <c r="AE10" i="7"/>
  <c r="AE79" i="7"/>
  <c r="AH32" i="7"/>
  <c r="AH68" i="7"/>
  <c r="AI77" i="7"/>
  <c r="AI49" i="7"/>
  <c r="AG77" i="7"/>
  <c r="AG49" i="7"/>
  <c r="AE101" i="7"/>
  <c r="AE21" i="7"/>
  <c r="AE12" i="7"/>
  <c r="AE93" i="7"/>
  <c r="AF93" i="7"/>
  <c r="AF12" i="7"/>
  <c r="AF36" i="7"/>
  <c r="AF96" i="7"/>
  <c r="AD23" i="7"/>
  <c r="N12" i="7"/>
  <c r="AD60" i="7"/>
  <c r="AH80" i="7"/>
  <c r="AH18" i="7"/>
  <c r="AG41" i="7"/>
  <c r="AG76" i="7"/>
  <c r="AJ16" i="7"/>
  <c r="AJ66" i="7"/>
  <c r="AD102" i="7"/>
  <c r="AD29" i="7"/>
  <c r="AI15" i="7"/>
  <c r="AI59" i="7"/>
  <c r="T10" i="7"/>
  <c r="AH12" i="7"/>
  <c r="AH93" i="7"/>
  <c r="AF35" i="7"/>
  <c r="AF89" i="7"/>
  <c r="AD37" i="7"/>
  <c r="AD103" i="7"/>
  <c r="AC100" i="7"/>
  <c r="AC13" i="7"/>
  <c r="AH101" i="7"/>
  <c r="AH21" i="7"/>
  <c r="AG47" i="10"/>
  <c r="AG24" i="10"/>
  <c r="AF43" i="10"/>
  <c r="H14" i="10"/>
  <c r="AF31" i="10"/>
  <c r="AC61" i="7"/>
  <c r="F14" i="7"/>
  <c r="AC31" i="7"/>
  <c r="AF51" i="7"/>
  <c r="AF91" i="7"/>
  <c r="AD9" i="10"/>
  <c r="AD50" i="10"/>
  <c r="AD25" i="10"/>
  <c r="AD52" i="10"/>
  <c r="P9" i="10"/>
  <c r="Q9" i="10"/>
  <c r="AI18" i="10"/>
  <c r="AI56" i="10"/>
  <c r="AH27" i="10"/>
  <c r="AH62" i="10"/>
  <c r="P15" i="10"/>
  <c r="Q15" i="10"/>
  <c r="S11" i="10"/>
  <c r="R11" i="10"/>
  <c r="AC8" i="10"/>
  <c r="AC45" i="10"/>
  <c r="AI47" i="7"/>
  <c r="T18" i="7"/>
  <c r="AI63" i="7"/>
  <c r="AI19" i="10"/>
  <c r="AI61" i="10"/>
  <c r="AF29" i="10"/>
  <c r="AF72" i="10"/>
  <c r="AI73" i="10"/>
  <c r="AI37" i="10"/>
  <c r="AF33" i="10"/>
  <c r="AF53" i="10"/>
  <c r="AC95" i="7"/>
  <c r="AC28" i="7"/>
  <c r="AH48" i="7"/>
  <c r="AH70" i="7"/>
  <c r="AJ24" i="7"/>
  <c r="AJ67" i="7"/>
  <c r="AD65" i="7"/>
  <c r="AD8" i="7"/>
  <c r="AH62" i="7"/>
  <c r="AH39" i="7"/>
  <c r="P16" i="7"/>
  <c r="AI33" i="7"/>
  <c r="AI75" i="7"/>
  <c r="AC87" i="7"/>
  <c r="AC19" i="7"/>
  <c r="AC83" i="7"/>
  <c r="AC42" i="7"/>
  <c r="AD34" i="7"/>
  <c r="AD82" i="7"/>
  <c r="AH7" i="7"/>
  <c r="P8" i="7"/>
  <c r="AH58" i="7"/>
  <c r="AF90" i="7"/>
  <c r="AF43" i="7"/>
  <c r="AF98" i="7"/>
  <c r="AF52" i="7"/>
  <c r="AG24" i="7"/>
  <c r="AG67" i="7"/>
  <c r="AI102" i="7"/>
  <c r="AI29" i="7"/>
  <c r="AH72" i="7"/>
  <c r="AH9" i="7"/>
  <c r="AI80" i="7"/>
  <c r="AI18" i="7"/>
  <c r="AI10" i="7"/>
  <c r="AI79" i="7"/>
  <c r="AI19" i="7"/>
  <c r="AI87" i="7"/>
  <c r="AD11" i="7"/>
  <c r="AD86" i="7"/>
  <c r="AD42" i="7"/>
  <c r="AD83" i="7"/>
  <c r="AD88" i="7"/>
  <c r="AD27" i="7"/>
  <c r="AI28" i="7"/>
  <c r="AI95" i="7"/>
  <c r="AE83" i="7"/>
  <c r="AE42" i="7"/>
  <c r="AH26" i="10"/>
  <c r="AH57" i="10"/>
  <c r="AJ20" i="10"/>
  <c r="AJ66" i="10"/>
  <c r="AE73" i="10"/>
  <c r="AE37" i="10"/>
  <c r="J9" i="10"/>
  <c r="K9" i="10"/>
  <c r="AC72" i="10"/>
  <c r="AC29" i="10"/>
  <c r="AF56" i="10"/>
  <c r="AF18" i="10"/>
  <c r="AG53" i="7"/>
  <c r="AG105" i="7"/>
  <c r="AF27" i="7"/>
  <c r="AF88" i="7"/>
  <c r="AI61" i="7"/>
  <c r="AI31" i="7"/>
  <c r="T14" i="7"/>
  <c r="AJ9" i="7"/>
  <c r="AJ72" i="7"/>
  <c r="AD80" i="7"/>
  <c r="AD18" i="7"/>
  <c r="AD10" i="7"/>
  <c r="AD79" i="7"/>
  <c r="AC49" i="7"/>
  <c r="AC77" i="7"/>
  <c r="AE95" i="7"/>
  <c r="AE28" i="7"/>
  <c r="AD76" i="7"/>
  <c r="AD41" i="7"/>
  <c r="AI12" i="7"/>
  <c r="AI93" i="7"/>
  <c r="AF86" i="7"/>
  <c r="AF11" i="7"/>
  <c r="AH43" i="7"/>
  <c r="AH90" i="7"/>
  <c r="AE96" i="7"/>
  <c r="AE36" i="7"/>
  <c r="AC53" i="7"/>
  <c r="AC105" i="7"/>
  <c r="AF82" i="7"/>
  <c r="AF34" i="7"/>
  <c r="AH67" i="7"/>
  <c r="AH24" i="7"/>
  <c r="AH31" i="7"/>
  <c r="P14" i="7"/>
  <c r="AH61" i="7"/>
  <c r="AG84" i="7"/>
  <c r="AG50" i="7"/>
  <c r="AC33" i="7"/>
  <c r="AC75" i="7"/>
  <c r="AH35" i="7"/>
  <c r="AH89" i="7"/>
  <c r="AG42" i="7"/>
  <c r="AG83" i="7"/>
  <c r="AJ103" i="7"/>
  <c r="AJ37" i="7"/>
  <c r="AD43" i="7"/>
  <c r="AD90" i="7"/>
  <c r="AI47" i="10"/>
  <c r="AI24" i="10"/>
  <c r="AC57" i="10"/>
  <c r="AC26" i="10"/>
  <c r="AE24" i="10"/>
  <c r="AE47" i="10"/>
  <c r="R9" i="10"/>
  <c r="S9" i="10"/>
  <c r="AE55" i="10"/>
  <c r="AE10" i="10"/>
  <c r="AC52" i="7"/>
  <c r="AC98" i="7"/>
  <c r="AI72" i="10"/>
  <c r="AI29" i="10"/>
  <c r="O11" i="10"/>
  <c r="N11" i="10"/>
  <c r="H13" i="10"/>
  <c r="I13" i="10"/>
  <c r="AE27" i="10"/>
  <c r="AE62" i="10"/>
  <c r="H10" i="10"/>
  <c r="AF41" i="10"/>
  <c r="AF15" i="10"/>
  <c r="AH56" i="10"/>
  <c r="AH18" i="10"/>
  <c r="AF66" i="10"/>
  <c r="AF20" i="10"/>
  <c r="AC27" i="10"/>
  <c r="AC62" i="10"/>
  <c r="F12" i="10"/>
  <c r="AC42" i="10"/>
  <c r="AC23" i="10"/>
  <c r="U11" i="10"/>
  <c r="T11" i="10"/>
  <c r="AE49" i="7"/>
  <c r="AE77" i="7"/>
  <c r="G15" i="10"/>
  <c r="W8" i="8"/>
  <c r="AC44" i="8" l="1"/>
  <c r="AC25" i="8"/>
  <c r="AI17" i="8"/>
  <c r="AI43" i="8"/>
  <c r="AH55" i="8"/>
  <c r="AH20" i="8"/>
  <c r="AC55" i="8"/>
  <c r="AC20" i="8"/>
  <c r="AI19" i="8"/>
  <c r="AI51" i="8"/>
  <c r="AH8" i="8"/>
  <c r="AH38" i="8"/>
  <c r="G17" i="7"/>
  <c r="V16" i="7"/>
  <c r="F17" i="7"/>
  <c r="I13" i="7"/>
  <c r="H13" i="7"/>
  <c r="AG51" i="8"/>
  <c r="AG19" i="8"/>
  <c r="P9" i="7"/>
  <c r="Q9" i="7"/>
  <c r="AH24" i="8"/>
  <c r="AH40" i="8"/>
  <c r="S15" i="10"/>
  <c r="R15" i="10"/>
  <c r="N9" i="7"/>
  <c r="O9" i="7"/>
  <c r="J15" i="7"/>
  <c r="K15" i="7"/>
  <c r="AE34" i="8"/>
  <c r="AE7" i="8"/>
  <c r="L8" i="8"/>
  <c r="AF25" i="8"/>
  <c r="AF44" i="8"/>
  <c r="AG58" i="10"/>
  <c r="AG34" i="10"/>
  <c r="P11" i="7"/>
  <c r="Q11" i="7"/>
  <c r="M19" i="7"/>
  <c r="L19" i="7"/>
  <c r="R13" i="7"/>
  <c r="S13" i="7"/>
  <c r="AJ12" i="8"/>
  <c r="AJ54" i="8"/>
  <c r="AJ7" i="8"/>
  <c r="AJ34" i="8"/>
  <c r="R8" i="8"/>
  <c r="AH11" i="8"/>
  <c r="AH50" i="8"/>
  <c r="AG26" i="8"/>
  <c r="AG48" i="8"/>
  <c r="AJ40" i="8"/>
  <c r="AJ24" i="8"/>
  <c r="AI42" i="8"/>
  <c r="AI9" i="8"/>
  <c r="N10" i="8"/>
  <c r="AD35" i="8"/>
  <c r="AD15" i="8"/>
  <c r="N13" i="7"/>
  <c r="O13" i="7"/>
  <c r="F9" i="7"/>
  <c r="G9" i="7"/>
  <c r="V8" i="7"/>
  <c r="U17" i="7"/>
  <c r="T17" i="7"/>
  <c r="AG32" i="10"/>
  <c r="AG48" i="10"/>
  <c r="AF7" i="8"/>
  <c r="AF34" i="8"/>
  <c r="H8" i="8"/>
  <c r="AE11" i="8"/>
  <c r="AE50" i="8"/>
  <c r="AJ43" i="8"/>
  <c r="AJ17" i="8"/>
  <c r="AH47" i="8"/>
  <c r="AH18" i="8"/>
  <c r="AI44" i="8"/>
  <c r="AI25" i="8"/>
  <c r="AF24" i="8"/>
  <c r="AF40" i="8"/>
  <c r="AH48" i="8"/>
  <c r="AH26" i="8"/>
  <c r="AH51" i="8"/>
  <c r="AH19" i="8"/>
  <c r="F12" i="8"/>
  <c r="AC36" i="8"/>
  <c r="AC23" i="8"/>
  <c r="AI29" i="8"/>
  <c r="AI60" i="8"/>
  <c r="AE20" i="8"/>
  <c r="AE55" i="8"/>
  <c r="AG68" i="10"/>
  <c r="AG36" i="10"/>
  <c r="AD58" i="10"/>
  <c r="AD34" i="10"/>
  <c r="AC68" i="10"/>
  <c r="AC36" i="10"/>
  <c r="F8" i="8"/>
  <c r="AC7" i="8"/>
  <c r="AC34" i="8"/>
  <c r="AF16" i="8"/>
  <c r="AF39" i="8"/>
  <c r="AI50" i="8"/>
  <c r="AI11" i="8"/>
  <c r="AH35" i="8"/>
  <c r="P10" i="8"/>
  <c r="AH15" i="8"/>
  <c r="AF50" i="8"/>
  <c r="AF11" i="8"/>
  <c r="AJ42" i="8"/>
  <c r="AJ9" i="8"/>
  <c r="AD29" i="8"/>
  <c r="AD60" i="8"/>
  <c r="AJ39" i="8"/>
  <c r="AJ16" i="8"/>
  <c r="AE46" i="8"/>
  <c r="AE10" i="8"/>
  <c r="AG36" i="8"/>
  <c r="AG23" i="8"/>
  <c r="J12" i="8"/>
  <c r="AG60" i="8"/>
  <c r="AG29" i="8"/>
  <c r="AF55" i="8"/>
  <c r="AF20" i="8"/>
  <c r="AG13" i="8"/>
  <c r="AG58" i="8"/>
  <c r="AI38" i="8"/>
  <c r="AI8" i="8"/>
  <c r="AH21" i="8"/>
  <c r="AH59" i="8"/>
  <c r="AF21" i="8"/>
  <c r="AF59" i="8"/>
  <c r="AH17" i="8"/>
  <c r="AH43" i="8"/>
  <c r="AJ21" i="8"/>
  <c r="AJ59" i="8"/>
  <c r="AJ13" i="8"/>
  <c r="AJ58" i="8"/>
  <c r="I11" i="10"/>
  <c r="H11" i="10"/>
  <c r="AH48" i="10"/>
  <c r="AH32" i="10"/>
  <c r="U19" i="7"/>
  <c r="T19" i="7"/>
  <c r="AF28" i="10"/>
  <c r="AF67" i="10"/>
  <c r="U11" i="7"/>
  <c r="T11" i="7"/>
  <c r="R19" i="7"/>
  <c r="S19" i="7"/>
  <c r="AI70" i="7"/>
  <c r="AI48" i="7"/>
  <c r="L13" i="10"/>
  <c r="M13" i="10"/>
  <c r="AG40" i="8"/>
  <c r="AG24" i="8"/>
  <c r="J15" i="10"/>
  <c r="K15" i="10"/>
  <c r="Q13" i="7"/>
  <c r="P13" i="7"/>
  <c r="AG42" i="8"/>
  <c r="AG9" i="8"/>
  <c r="AF60" i="8"/>
  <c r="AF29" i="8"/>
  <c r="N12" i="8"/>
  <c r="AD36" i="8"/>
  <c r="AD23" i="8"/>
  <c r="AH23" i="8"/>
  <c r="P12" i="8"/>
  <c r="AH36" i="8"/>
  <c r="AH34" i="10"/>
  <c r="AH58" i="10"/>
  <c r="AD59" i="8"/>
  <c r="AD21" i="8"/>
  <c r="AE40" i="8"/>
  <c r="AE24" i="8"/>
  <c r="L15" i="7"/>
  <c r="M15" i="7"/>
  <c r="K19" i="7"/>
  <c r="J19" i="7"/>
  <c r="AD24" i="8"/>
  <c r="AD40" i="8"/>
  <c r="AH44" i="8"/>
  <c r="AH25" i="8"/>
  <c r="AE39" i="8"/>
  <c r="AE16" i="8"/>
  <c r="AG38" i="8"/>
  <c r="AG8" i="8"/>
  <c r="AD18" i="8"/>
  <c r="AD47" i="8"/>
  <c r="AE52" i="8"/>
  <c r="AE27" i="8"/>
  <c r="H15" i="10"/>
  <c r="I15" i="10"/>
  <c r="F11" i="10"/>
  <c r="V10" i="10"/>
  <c r="G11" i="10"/>
  <c r="T15" i="10"/>
  <c r="U15" i="10"/>
  <c r="AC26" i="8"/>
  <c r="AC48" i="8"/>
  <c r="AF38" i="8"/>
  <c r="AF8" i="8"/>
  <c r="AG20" i="8"/>
  <c r="AG55" i="8"/>
  <c r="AG11" i="8"/>
  <c r="AG50" i="8"/>
  <c r="AI34" i="10"/>
  <c r="AI58" i="10"/>
  <c r="AH68" i="10"/>
  <c r="AH36" i="10"/>
  <c r="AC16" i="8"/>
  <c r="AC39" i="8"/>
  <c r="H10" i="8"/>
  <c r="AF15" i="8"/>
  <c r="AF35" i="8"/>
  <c r="AC27" i="8"/>
  <c r="AC52" i="8"/>
  <c r="AE48" i="10"/>
  <c r="AE32" i="10"/>
  <c r="AG67" i="10"/>
  <c r="AG28" i="10"/>
  <c r="N11" i="7"/>
  <c r="O11" i="7"/>
  <c r="AH34" i="8"/>
  <c r="P8" i="8"/>
  <c r="AH7" i="8"/>
  <c r="AF48" i="8"/>
  <c r="AF26" i="8"/>
  <c r="AG46" i="8"/>
  <c r="AG10" i="8"/>
  <c r="AD19" i="8"/>
  <c r="AD51" i="8"/>
  <c r="AJ44" i="8"/>
  <c r="AJ25" i="8"/>
  <c r="AE48" i="8"/>
  <c r="AE26" i="8"/>
  <c r="AD39" i="8"/>
  <c r="AD16" i="8"/>
  <c r="AC58" i="10"/>
  <c r="AC34" i="10"/>
  <c r="AE58" i="10"/>
  <c r="AE34" i="10"/>
  <c r="AF34" i="10"/>
  <c r="AF58" i="10"/>
  <c r="AC19" i="8"/>
  <c r="AC51" i="8"/>
  <c r="AJ48" i="8"/>
  <c r="AJ26" i="8"/>
  <c r="AH42" i="8"/>
  <c r="AH9" i="8"/>
  <c r="AE58" i="8"/>
  <c r="AE13" i="8"/>
  <c r="AH46" i="8"/>
  <c r="AH10" i="8"/>
  <c r="AG27" i="8"/>
  <c r="AG52" i="8"/>
  <c r="AH39" i="8"/>
  <c r="AH16" i="8"/>
  <c r="AI26" i="8"/>
  <c r="AI48" i="8"/>
  <c r="P15" i="7"/>
  <c r="Q15" i="7"/>
  <c r="V14" i="7"/>
  <c r="F15" i="7"/>
  <c r="G15" i="7"/>
  <c r="V12" i="7"/>
  <c r="F13" i="7"/>
  <c r="G13" i="7"/>
  <c r="S17" i="7"/>
  <c r="R17" i="7"/>
  <c r="AJ19" i="8"/>
  <c r="AJ51" i="8"/>
  <c r="K11" i="10"/>
  <c r="J11" i="10"/>
  <c r="N15" i="10"/>
  <c r="O15" i="10"/>
  <c r="AC50" i="8"/>
  <c r="AC11" i="8"/>
  <c r="I9" i="7"/>
  <c r="H9" i="7"/>
  <c r="M15" i="10"/>
  <c r="L15" i="10"/>
  <c r="K17" i="7"/>
  <c r="J17" i="7"/>
  <c r="AC13" i="8"/>
  <c r="AC58" i="8"/>
  <c r="F19" i="7"/>
  <c r="V18" i="7"/>
  <c r="G19" i="7"/>
  <c r="V14" i="10"/>
  <c r="AJ32" i="10"/>
  <c r="AJ48" i="10"/>
  <c r="K13" i="10"/>
  <c r="J13" i="10"/>
  <c r="M13" i="7"/>
  <c r="L13" i="7"/>
  <c r="AG17" i="8"/>
  <c r="AG43" i="8"/>
  <c r="AC9" i="8"/>
  <c r="AC42" i="8"/>
  <c r="AI16" i="8"/>
  <c r="AI39" i="8"/>
  <c r="AI35" i="8"/>
  <c r="T10" i="8"/>
  <c r="AI15" i="8"/>
  <c r="O13" i="10"/>
  <c r="N13" i="10"/>
  <c r="O15" i="7"/>
  <c r="N15" i="7"/>
  <c r="N17" i="7"/>
  <c r="O17" i="7"/>
  <c r="AI10" i="8"/>
  <c r="AI46" i="8"/>
  <c r="AI42" i="7"/>
  <c r="AI83" i="7"/>
  <c r="AH60" i="8"/>
  <c r="AH29" i="8"/>
  <c r="N19" i="7"/>
  <c r="O19" i="7"/>
  <c r="AH28" i="10"/>
  <c r="AH67" i="10"/>
  <c r="AD44" i="8"/>
  <c r="AD25" i="8"/>
  <c r="AD43" i="8"/>
  <c r="AD17" i="8"/>
  <c r="AI28" i="10"/>
  <c r="AI67" i="10"/>
  <c r="AD12" i="8"/>
  <c r="AD54" i="8"/>
  <c r="T13" i="7"/>
  <c r="U13" i="7"/>
  <c r="H11" i="7"/>
  <c r="I11" i="7"/>
  <c r="M11" i="7"/>
  <c r="L11" i="7"/>
  <c r="I17" i="7"/>
  <c r="H17" i="7"/>
  <c r="AG54" i="8"/>
  <c r="AG12" i="8"/>
  <c r="AE35" i="8"/>
  <c r="AE15" i="8"/>
  <c r="L10" i="8"/>
  <c r="AJ27" i="8"/>
  <c r="AJ52" i="8"/>
  <c r="AD55" i="8"/>
  <c r="AD20" i="8"/>
  <c r="P17" i="7"/>
  <c r="Q17" i="7"/>
  <c r="AJ47" i="8"/>
  <c r="AJ18" i="8"/>
  <c r="AI68" i="10"/>
  <c r="AI36" i="10"/>
  <c r="AD36" i="10"/>
  <c r="AD68" i="10"/>
  <c r="AF36" i="10"/>
  <c r="AF68" i="10"/>
  <c r="AD52" i="8"/>
  <c r="AD27" i="8"/>
  <c r="AJ23" i="8"/>
  <c r="R12" i="8"/>
  <c r="AJ36" i="8"/>
  <c r="AJ35" i="8"/>
  <c r="AJ15" i="8"/>
  <c r="R10" i="8"/>
  <c r="AF58" i="8"/>
  <c r="AF13" i="8"/>
  <c r="AC15" i="8"/>
  <c r="AC35" i="8"/>
  <c r="F10" i="8"/>
  <c r="AH52" i="8"/>
  <c r="AH27" i="8"/>
  <c r="AG47" i="8"/>
  <c r="AG18" i="8"/>
  <c r="AC60" i="8"/>
  <c r="AC29" i="8"/>
  <c r="AI47" i="8"/>
  <c r="AI18" i="8"/>
  <c r="AF48" i="10"/>
  <c r="AF32" i="10"/>
  <c r="I15" i="7"/>
  <c r="H15" i="7"/>
  <c r="M9" i="7"/>
  <c r="L9" i="7"/>
  <c r="G11" i="7"/>
  <c r="V10" i="7"/>
  <c r="F11" i="7"/>
  <c r="AH54" i="8"/>
  <c r="AH12" i="8"/>
  <c r="AI89" i="7"/>
  <c r="AI35" i="7"/>
  <c r="AE9" i="8"/>
  <c r="AE42" i="8"/>
  <c r="AH13" i="8"/>
  <c r="AH58" i="8"/>
  <c r="L17" i="7"/>
  <c r="M17" i="7"/>
  <c r="AF12" i="8"/>
  <c r="AF54" i="8"/>
  <c r="AE17" i="8"/>
  <c r="AE43" i="8"/>
  <c r="AE25" i="8"/>
  <c r="AE44" i="8"/>
  <c r="AC10" i="8"/>
  <c r="AC46" i="8"/>
  <c r="AJ46" i="8"/>
  <c r="AJ10" i="8"/>
  <c r="AJ58" i="10"/>
  <c r="AJ34" i="10"/>
  <c r="AD46" i="8"/>
  <c r="AD10" i="8"/>
  <c r="AC8" i="8"/>
  <c r="AC38" i="8"/>
  <c r="AD7" i="8"/>
  <c r="N8" i="8"/>
  <c r="AD34" i="8"/>
  <c r="AE19" i="8"/>
  <c r="AE51" i="8"/>
  <c r="AC47" i="8"/>
  <c r="AC18" i="8"/>
  <c r="AI27" i="8"/>
  <c r="AI52" i="8"/>
  <c r="AC28" i="8"/>
  <c r="AC56" i="8"/>
  <c r="AD67" i="10"/>
  <c r="AD28" i="10"/>
  <c r="I19" i="7"/>
  <c r="H19" i="7"/>
  <c r="AF42" i="8"/>
  <c r="AF9" i="8"/>
  <c r="AG44" i="8"/>
  <c r="AG25" i="8"/>
  <c r="AF43" i="8"/>
  <c r="AF17" i="8"/>
  <c r="T9" i="7"/>
  <c r="U9" i="7"/>
  <c r="R9" i="7"/>
  <c r="S9" i="7"/>
  <c r="AF18" i="8"/>
  <c r="AF47" i="8"/>
  <c r="J8" i="8"/>
  <c r="AG34" i="8"/>
  <c r="AG7" i="8"/>
  <c r="AF10" i="8"/>
  <c r="AF46" i="8"/>
  <c r="T8" i="8"/>
  <c r="AI34" i="8"/>
  <c r="AI7" i="8"/>
  <c r="AE68" i="10"/>
  <c r="AE36" i="10"/>
  <c r="AI58" i="8"/>
  <c r="AI13" i="8"/>
  <c r="AI21" i="8"/>
  <c r="AI59" i="8"/>
  <c r="AI36" i="8"/>
  <c r="T12" i="8"/>
  <c r="AI23" i="8"/>
  <c r="AF23" i="8"/>
  <c r="H12" i="8"/>
  <c r="AF36" i="8"/>
  <c r="L12" i="8"/>
  <c r="AE23" i="8"/>
  <c r="AE36" i="8"/>
  <c r="AC17" i="8"/>
  <c r="AC43" i="8"/>
  <c r="AJ29" i="8"/>
  <c r="AJ60" i="8"/>
  <c r="AD28" i="8"/>
  <c r="AD56" i="8"/>
  <c r="V12" i="10"/>
  <c r="G13" i="10"/>
  <c r="F13" i="10"/>
  <c r="AC48" i="10"/>
  <c r="AC32" i="10"/>
  <c r="T15" i="7"/>
  <c r="U15" i="7"/>
  <c r="AJ28" i="10"/>
  <c r="AJ67" i="10"/>
  <c r="J11" i="7"/>
  <c r="K11" i="7"/>
  <c r="R11" i="7"/>
  <c r="S11" i="7"/>
  <c r="Q19" i="7"/>
  <c r="P19" i="7"/>
  <c r="J9" i="7"/>
  <c r="K9" i="7"/>
  <c r="AE60" i="8"/>
  <c r="AE29" i="8"/>
  <c r="S13" i="10"/>
  <c r="R13" i="10"/>
  <c r="AE18" i="8"/>
  <c r="AE47" i="8"/>
  <c r="S15" i="7"/>
  <c r="R15" i="7"/>
  <c r="AC28" i="10"/>
  <c r="AC67" i="10"/>
  <c r="AI56" i="8" l="1"/>
  <c r="AI28" i="8"/>
  <c r="AE38" i="8"/>
  <c r="AE8" i="8"/>
  <c r="AD48" i="8"/>
  <c r="AD26" i="8"/>
  <c r="AJ28" i="8"/>
  <c r="AJ56" i="8"/>
  <c r="Q11" i="8"/>
  <c r="P11" i="8"/>
  <c r="D2" i="8"/>
  <c r="G9" i="8"/>
  <c r="V8" i="8"/>
  <c r="F9" i="8"/>
  <c r="H9" i="8"/>
  <c r="I9" i="8"/>
  <c r="AG39" i="8"/>
  <c r="AG16" i="8"/>
  <c r="L13" i="8"/>
  <c r="M13" i="8"/>
  <c r="J9" i="8"/>
  <c r="K9" i="8"/>
  <c r="AH28" i="8"/>
  <c r="AH56" i="8"/>
  <c r="S11" i="8"/>
  <c r="R11" i="8"/>
  <c r="T11" i="8"/>
  <c r="U11" i="8"/>
  <c r="AG21" i="8"/>
  <c r="AG59" i="8"/>
  <c r="AI54" i="8"/>
  <c r="AI12" i="8"/>
  <c r="AI24" i="8"/>
  <c r="AI40" i="8"/>
  <c r="G13" i="8"/>
  <c r="V12" i="8"/>
  <c r="F13" i="8"/>
  <c r="AG35" i="8"/>
  <c r="AG15" i="8"/>
  <c r="J10" i="8"/>
  <c r="Q13" i="8"/>
  <c r="P13" i="8"/>
  <c r="AD11" i="8"/>
  <c r="AD50" i="8"/>
  <c r="AD8" i="8"/>
  <c r="AD38" i="8"/>
  <c r="AD13" i="8"/>
  <c r="AD58" i="8"/>
  <c r="AC24" i="8"/>
  <c r="AC40" i="8"/>
  <c r="AF56" i="8"/>
  <c r="AF28" i="8"/>
  <c r="I13" i="8"/>
  <c r="H13" i="8"/>
  <c r="N9" i="8"/>
  <c r="O9" i="8"/>
  <c r="AF51" i="8"/>
  <c r="AF19" i="8"/>
  <c r="M11" i="8"/>
  <c r="L11" i="8"/>
  <c r="AE28" i="8"/>
  <c r="AE56" i="8"/>
  <c r="O11" i="8"/>
  <c r="N11" i="8"/>
  <c r="R9" i="8"/>
  <c r="S9" i="8"/>
  <c r="U13" i="8"/>
  <c r="T13" i="8"/>
  <c r="I11" i="8"/>
  <c r="H11" i="8"/>
  <c r="AE59" i="8"/>
  <c r="AE21" i="8"/>
  <c r="AJ68" i="10"/>
  <c r="AJ36" i="10"/>
  <c r="AC59" i="8"/>
  <c r="AC21" i="8"/>
  <c r="J13" i="8"/>
  <c r="K13" i="8"/>
  <c r="M9" i="8"/>
  <c r="L9" i="8"/>
  <c r="U9" i="8"/>
  <c r="T9" i="8"/>
  <c r="AJ20" i="8"/>
  <c r="AJ55" i="8"/>
  <c r="G11" i="8"/>
  <c r="F11" i="8"/>
  <c r="AC54" i="8"/>
  <c r="AC12" i="8"/>
  <c r="AD42" i="8"/>
  <c r="AD9" i="8"/>
  <c r="AG56" i="8"/>
  <c r="AG28" i="8"/>
  <c r="Q9" i="8"/>
  <c r="P9" i="8"/>
  <c r="AE12" i="8"/>
  <c r="AE54" i="8"/>
  <c r="N13" i="8"/>
  <c r="O13" i="8"/>
  <c r="AF52" i="8"/>
  <c r="AF27" i="8"/>
  <c r="AJ11" i="8"/>
  <c r="AJ50" i="8"/>
  <c r="R13" i="8"/>
  <c r="S13" i="8"/>
  <c r="AI55" i="8"/>
  <c r="AI20" i="8"/>
  <c r="AJ8" i="8"/>
  <c r="AJ38" i="8"/>
  <c r="K11" i="8" l="1"/>
  <c r="J11" i="8"/>
  <c r="V10" i="8"/>
  <c r="W20" i="5" l="1"/>
  <c r="W16" i="5"/>
  <c r="W12" i="5"/>
  <c r="W14" i="5"/>
  <c r="R12" i="5" l="1"/>
  <c r="AH9" i="5"/>
  <c r="H16" i="5"/>
  <c r="AD11" i="5"/>
  <c r="AF13" i="5"/>
  <c r="P20" i="5"/>
  <c r="AE10" i="5"/>
  <c r="J14" i="5"/>
  <c r="AC9" i="5"/>
  <c r="L12" i="5"/>
  <c r="AH11" i="5"/>
  <c r="R16" i="5"/>
  <c r="AH13" i="5"/>
  <c r="R20" i="5"/>
  <c r="AC10" i="5"/>
  <c r="L14" i="5"/>
  <c r="P8" i="5"/>
  <c r="AF7" i="5"/>
  <c r="AG9" i="5"/>
  <c r="T12" i="5"/>
  <c r="AC11" i="5"/>
  <c r="L16" i="5"/>
  <c r="T20" i="5"/>
  <c r="AG13" i="5"/>
  <c r="T14" i="5"/>
  <c r="AG10" i="5"/>
  <c r="AA9" i="5"/>
  <c r="F12" i="5"/>
  <c r="AE9" i="5"/>
  <c r="J12" i="5"/>
  <c r="AG11" i="5"/>
  <c r="T16" i="5"/>
  <c r="N20" i="5"/>
  <c r="AB13" i="5"/>
  <c r="AF9" i="5"/>
  <c r="P12" i="5"/>
  <c r="J16" i="5"/>
  <c r="AE11" i="5"/>
  <c r="AC13" i="5"/>
  <c r="L20" i="5"/>
  <c r="AD10" i="5"/>
  <c r="H14" i="5"/>
  <c r="AA8" i="5"/>
  <c r="F10" i="5"/>
  <c r="N12" i="5"/>
  <c r="AB9" i="5"/>
  <c r="P16" i="5"/>
  <c r="AF11" i="5"/>
  <c r="J20" i="5"/>
  <c r="AE13" i="5"/>
  <c r="AF10" i="5"/>
  <c r="P14" i="5"/>
  <c r="N16" i="5"/>
  <c r="AB11" i="5"/>
  <c r="AD13" i="5"/>
  <c r="H20" i="5"/>
  <c r="AH10" i="5"/>
  <c r="R14" i="5"/>
  <c r="L8" i="5"/>
  <c r="AC7" i="5"/>
  <c r="AB10" i="5"/>
  <c r="N14" i="5"/>
  <c r="H12" i="5"/>
  <c r="AD9" i="5"/>
  <c r="W8" i="5"/>
  <c r="W18" i="5"/>
  <c r="W10" i="5" l="1"/>
  <c r="F8" i="5"/>
  <c r="AA7" i="5"/>
  <c r="AG12" i="5"/>
  <c r="T18" i="5"/>
  <c r="L21" i="5"/>
  <c r="M21" i="5"/>
  <c r="M15" i="5"/>
  <c r="L15" i="5"/>
  <c r="I21" i="5"/>
  <c r="H21" i="5"/>
  <c r="N21" i="5"/>
  <c r="O21" i="5"/>
  <c r="P21" i="5"/>
  <c r="Q21" i="5"/>
  <c r="AE8" i="5"/>
  <c r="J10" i="5"/>
  <c r="AH12" i="5"/>
  <c r="R18" i="5"/>
  <c r="R8" i="5"/>
  <c r="AH7" i="5"/>
  <c r="N13" i="5"/>
  <c r="O13" i="5"/>
  <c r="U17" i="5"/>
  <c r="T17" i="5"/>
  <c r="F14" i="5"/>
  <c r="AA10" i="5"/>
  <c r="S21" i="5"/>
  <c r="R21" i="5"/>
  <c r="AA11" i="5"/>
  <c r="F16" i="5"/>
  <c r="AA12" i="5"/>
  <c r="F18" i="5"/>
  <c r="P17" i="5"/>
  <c r="Q17" i="5"/>
  <c r="U13" i="5"/>
  <c r="T13" i="5"/>
  <c r="AH8" i="5"/>
  <c r="R10" i="5"/>
  <c r="N8" i="5"/>
  <c r="AB7" i="5"/>
  <c r="AE7" i="5"/>
  <c r="J8" i="5"/>
  <c r="J18" i="5"/>
  <c r="AE12" i="5"/>
  <c r="F20" i="5"/>
  <c r="AA13" i="5"/>
  <c r="T15" i="5"/>
  <c r="U15" i="5"/>
  <c r="L10" i="5"/>
  <c r="AC8" i="5"/>
  <c r="H18" i="5"/>
  <c r="AD12" i="5"/>
  <c r="Q15" i="5"/>
  <c r="P15" i="5"/>
  <c r="K17" i="5"/>
  <c r="J17" i="5"/>
  <c r="T8" i="5"/>
  <c r="AG7" i="5"/>
  <c r="K15" i="5"/>
  <c r="J15" i="5"/>
  <c r="P10" i="5"/>
  <c r="AF8" i="5"/>
  <c r="I13" i="5"/>
  <c r="H13" i="5"/>
  <c r="N17" i="5"/>
  <c r="O17" i="5"/>
  <c r="G11" i="5"/>
  <c r="J13" i="5"/>
  <c r="K13" i="5"/>
  <c r="H17" i="5"/>
  <c r="I17" i="5"/>
  <c r="H10" i="5"/>
  <c r="AD8" i="5"/>
  <c r="P18" i="5"/>
  <c r="AF12" i="5"/>
  <c r="S15" i="5"/>
  <c r="R15" i="5"/>
  <c r="U21" i="5"/>
  <c r="T21" i="5"/>
  <c r="Q9" i="5"/>
  <c r="P9" i="5"/>
  <c r="H8" i="5"/>
  <c r="AD7" i="5"/>
  <c r="N15" i="5"/>
  <c r="O15" i="5"/>
  <c r="N10" i="5"/>
  <c r="AB8" i="5"/>
  <c r="AC12" i="5"/>
  <c r="L18" i="5"/>
  <c r="L9" i="5"/>
  <c r="M9" i="5"/>
  <c r="Q13" i="5"/>
  <c r="P13" i="5"/>
  <c r="R17" i="5"/>
  <c r="S17" i="5"/>
  <c r="T10" i="5"/>
  <c r="AG8" i="5"/>
  <c r="N18" i="5"/>
  <c r="AB12" i="5"/>
  <c r="J21" i="5"/>
  <c r="K21" i="5"/>
  <c r="H15" i="5"/>
  <c r="I15" i="5"/>
  <c r="G13" i="5"/>
  <c r="F13" i="5"/>
  <c r="V12" i="5"/>
  <c r="L17" i="5"/>
  <c r="M17" i="5"/>
  <c r="M13" i="5"/>
  <c r="L13" i="5"/>
  <c r="S13" i="5"/>
  <c r="R13" i="5"/>
  <c r="F11" i="5"/>
  <c r="L19" i="5" l="1"/>
  <c r="M19" i="5"/>
  <c r="U9" i="5"/>
  <c r="T9" i="5"/>
  <c r="L11" i="5"/>
  <c r="M11" i="5"/>
  <c r="S9" i="5"/>
  <c r="R9" i="5"/>
  <c r="H9" i="5"/>
  <c r="I9" i="5"/>
  <c r="R19" i="5"/>
  <c r="S19" i="5"/>
  <c r="J19" i="5"/>
  <c r="K19" i="5"/>
  <c r="O19" i="5"/>
  <c r="N19" i="5"/>
  <c r="J9" i="5"/>
  <c r="K9" i="5"/>
  <c r="G15" i="5"/>
  <c r="F15" i="5"/>
  <c r="V14" i="5"/>
  <c r="N11" i="5"/>
  <c r="O11" i="5"/>
  <c r="Q19" i="5"/>
  <c r="P19" i="5"/>
  <c r="G19" i="5"/>
  <c r="F19" i="5"/>
  <c r="V18" i="5"/>
  <c r="J11" i="5"/>
  <c r="K11" i="5"/>
  <c r="T11" i="5"/>
  <c r="U11" i="5"/>
  <c r="G9" i="5"/>
  <c r="F9" i="5"/>
  <c r="V8" i="5"/>
  <c r="U19" i="5"/>
  <c r="T19" i="5"/>
  <c r="Q11" i="5"/>
  <c r="P11" i="5"/>
  <c r="I19" i="5"/>
  <c r="H19" i="5"/>
  <c r="G21" i="5"/>
  <c r="V20" i="5"/>
  <c r="F21" i="5"/>
  <c r="H11" i="5"/>
  <c r="I11" i="5"/>
  <c r="O9" i="5"/>
  <c r="N9" i="5"/>
  <c r="V10" i="5"/>
  <c r="S11" i="5"/>
  <c r="R11" i="5"/>
  <c r="F17" i="5"/>
  <c r="V16" i="5"/>
  <c r="G17" i="5"/>
</calcChain>
</file>

<file path=xl/sharedStrings.xml><?xml version="1.0" encoding="utf-8"?>
<sst xmlns="http://schemas.openxmlformats.org/spreadsheetml/2006/main" count="2897" uniqueCount="139">
  <si>
    <t>Screen detected</t>
  </si>
  <si>
    <t>Two Week Wait</t>
  </si>
  <si>
    <t>GP referral</t>
  </si>
  <si>
    <t>Emergency presentation</t>
  </si>
  <si>
    <t>Unknown</t>
  </si>
  <si>
    <t>Total</t>
  </si>
  <si>
    <t>Confidence interval</t>
  </si>
  <si>
    <t>Under 50</t>
  </si>
  <si>
    <t>50-59</t>
  </si>
  <si>
    <t>60-69</t>
  </si>
  <si>
    <t>70-79</t>
  </si>
  <si>
    <t>80-84</t>
  </si>
  <si>
    <t>85+</t>
  </si>
  <si>
    <t>Note</t>
  </si>
  <si>
    <t>- All percentages are shown with no decimal places. This may result in the upper or lower confidence interval being equal to the spot estimate.</t>
  </si>
  <si>
    <t>Sites</t>
  </si>
  <si>
    <t>Breast</t>
  </si>
  <si>
    <t>Colon</t>
  </si>
  <si>
    <t>Rectum</t>
  </si>
  <si>
    <t>NSCLC</t>
  </si>
  <si>
    <t>SCLC</t>
  </si>
  <si>
    <t>Prostate</t>
  </si>
  <si>
    <t>Tumour resection only</t>
  </si>
  <si>
    <t>Chemotherapy only</t>
  </si>
  <si>
    <t>Radiotherapy only</t>
  </si>
  <si>
    <t>Tumour resection
 and Chemotherapy</t>
  </si>
  <si>
    <t>Tumour resection
 and Radiotherapy</t>
  </si>
  <si>
    <t>Chemotherapy and Radiotherapy</t>
  </si>
  <si>
    <t>Other care</t>
  </si>
  <si>
    <t>Key</t>
  </si>
  <si>
    <t>Screening</t>
  </si>
  <si>
    <t>TWW</t>
  </si>
  <si>
    <t>IP &amp; OP</t>
  </si>
  <si>
    <t>Emergency 
presentation</t>
  </si>
  <si>
    <t>All Routes</t>
  </si>
  <si>
    <t>Routes</t>
  </si>
  <si>
    <t>Route name</t>
  </si>
  <si>
    <t>Route</t>
  </si>
  <si>
    <t>Early</t>
  </si>
  <si>
    <t>Late</t>
  </si>
  <si>
    <t>3+</t>
  </si>
  <si>
    <t>Site</t>
  </si>
  <si>
    <t>Graph titles</t>
  </si>
  <si>
    <t>Modality</t>
  </si>
  <si>
    <t>Stage</t>
  </si>
  <si>
    <t>Age</t>
  </si>
  <si>
    <t>Charlson</t>
  </si>
  <si>
    <t>Description of each Route</t>
  </si>
  <si>
    <t>Description</t>
  </si>
  <si>
    <t>Screen Detected</t>
  </si>
  <si>
    <t>Urgent GP referral with a suspicion of cancer, using the two week wait (TWW) guidelines</t>
  </si>
  <si>
    <t>GP Referral</t>
  </si>
  <si>
    <t>Routine and urgent referrals where the patient was not referred under the Two Week Wait referral route</t>
  </si>
  <si>
    <t>Emergency Presentation</t>
  </si>
  <si>
    <t>An emergency route via A&amp;E, emergency GP referral, emergency transfer, emergency consultant outpatient referral or emergency admission or attendance</t>
  </si>
  <si>
    <t>No data available from inpatient or outpatient HES, CWT, screening within set time parameters or unknown referral</t>
  </si>
  <si>
    <t>Cancer site/group</t>
  </si>
  <si>
    <t>ICD10 codes included</t>
  </si>
  <si>
    <t>C50</t>
  </si>
  <si>
    <t>C61</t>
  </si>
  <si>
    <t>Peer-reviewed paper in the British Journal of Cancer</t>
  </si>
  <si>
    <t>Technical document explaining how Routes are calculated</t>
  </si>
  <si>
    <t xml:space="preserve">If you have any queries regarding any of these data, please contact: </t>
  </si>
  <si>
    <t>ncrasenquiries@phe.gov.uk</t>
  </si>
  <si>
    <t xml:space="preserve">Routes to Diagnosis and treatment </t>
  </si>
  <si>
    <t>Other documentation on Routes to Diagnosis and treatments are also available. These include:</t>
  </si>
  <si>
    <t>Routes to Diagnosis results and publications</t>
  </si>
  <si>
    <t>Treatment breakdowns</t>
  </si>
  <si>
    <t>Treatment linkage procedure</t>
  </si>
  <si>
    <t>Results</t>
  </si>
  <si>
    <t>Treatment modality</t>
  </si>
  <si>
    <t>Charlson comorbidity score</t>
  </si>
  <si>
    <t>Contents</t>
  </si>
  <si>
    <t>This workbook presents the percentage of tumours diagnosed by treatment type and Route to Diagnosis. Breast, lung (NSCLC &amp; SCLC), colorectal (colon and rectum) and prostate cancers diagnosed between 2013 and 2015 in England are included here. These results are further split by age, stage at diagnosis and Charlson comorbidity score.</t>
  </si>
  <si>
    <t>Background</t>
  </si>
  <si>
    <t>Methods</t>
  </si>
  <si>
    <t>Data Sources</t>
  </si>
  <si>
    <r>
      <t xml:space="preserve">The Routes to Diagnosis methodology is described in detail in the British Journal of Cancer article “Routes to Diagnosis for cancer - Determining the patient journey using multiple routine datasets” (Br J Cancer, Volume 107, Number 8). More information is available </t>
    </r>
    <r>
      <rPr>
        <u/>
        <sz val="12"/>
        <color rgb="FF0000FF"/>
        <rFont val="Arial"/>
        <family val="2"/>
      </rPr>
      <t>online.</t>
    </r>
  </si>
  <si>
    <t>Small cell lung cancer (SCLC)</t>
  </si>
  <si>
    <t>-</t>
  </si>
  <si>
    <t>C18-C19</t>
  </si>
  <si>
    <t>C20</t>
  </si>
  <si>
    <t>C33-C34</t>
  </si>
  <si>
    <t>8041, 8042, 8043, 8044, 8045</t>
  </si>
  <si>
    <t>Excluding  8041, 8042, 8043, 8044, 8045</t>
  </si>
  <si>
    <t>Cohort</t>
  </si>
  <si>
    <t xml:space="preserve">All patients diagnosed with one of the four most common cancers in England between 2013 and 2015  are included. Prostate cancer is limited to males only. </t>
  </si>
  <si>
    <t>A combination of the inpatient elective and other outpatient routes.
Other outpatient -  An elective route starting with an outpatient appointment: either self-referral, consultant to consultant or other referral.
Inpatient elective - Where no earlier admission can be found prior to admission from a waiting list, booked or planned.</t>
  </si>
  <si>
    <t>Non small cell lung cancer (NSCLC)</t>
  </si>
  <si>
    <t>ICD-O-2 codes:</t>
  </si>
  <si>
    <t>The following classifications were used for the cancer sites/groups contained within this spreadsheet:</t>
  </si>
  <si>
    <t>ICD10 and ICD-O-2 codes</t>
  </si>
  <si>
    <t>Select cancer site from box below</t>
  </si>
  <si>
    <t>Percentage of diagnoses by Route and treatment modality, 2013-2015, England</t>
  </si>
  <si>
    <t>Select cancer site and Route from boxes below</t>
  </si>
  <si>
    <t xml:space="preserve">-Patients who had other care may have received other treatment types not recorded here, outside of  the time frame criteria or may have been managed in a private setting. </t>
  </si>
  <si>
    <t>- A Charlson score of 0 includes unknown comorbidity.</t>
  </si>
  <si>
    <t>Routes to Diagnosis</t>
  </si>
  <si>
    <t>Treatment</t>
  </si>
  <si>
    <t>Tumour resections, chemotherapy and radiotherapy by Route, cancer site and patient characteristics, England, 2013-2015</t>
  </si>
  <si>
    <t xml:space="preserve">Routes to Diagnosis uses routinely collected data sources to work backwards through patient pathways to examine the sequence of events that led to a cancer diagnosis. The methodology categorises patients into one of eight Routes, and these data have been linked to treatment information using a standard procedure that flags major resections, chemotherapy and radiotherapy. This lets us see the Route patients took before receiving these treatment, and if this varied by Route, cancer site, age, stage and Charlson comorbidity score. </t>
  </si>
  <si>
    <r>
      <t xml:space="preserve">• </t>
    </r>
    <r>
      <rPr>
        <sz val="12"/>
        <color rgb="FF000000"/>
        <rFont val="Arial"/>
        <family val="2"/>
      </rPr>
      <t>Cancer Waiting Times (CWT) data are provided by NHS England</t>
    </r>
  </si>
  <si>
    <r>
      <t xml:space="preserve">• </t>
    </r>
    <r>
      <rPr>
        <sz val="12"/>
        <color rgb="FF000000"/>
        <rFont val="Arial"/>
        <family val="2"/>
      </rPr>
      <t>Colorectal Cancer Screening Data are provided by the NHS Bowel Cancer Screening Programme (BCSP)</t>
    </r>
  </si>
  <si>
    <r>
      <t xml:space="preserve">• </t>
    </r>
    <r>
      <rPr>
        <sz val="12"/>
        <color rgb="FF000000"/>
        <rFont val="Arial"/>
        <family val="2"/>
      </rPr>
      <t>Breast Cancer Screening Data are processed by Public Health England's (PHE) Screening Histories Information Manager (SHIM) system</t>
    </r>
  </si>
  <si>
    <r>
      <t xml:space="preserve">The treatment assignment methodology is available </t>
    </r>
    <r>
      <rPr>
        <u/>
        <sz val="12"/>
        <color rgb="FF0000FF"/>
        <rFont val="Arial"/>
        <family val="2"/>
      </rPr>
      <t>here.</t>
    </r>
    <r>
      <rPr>
        <sz val="12"/>
        <rFont val="Arial"/>
        <family val="2"/>
      </rPr>
      <t xml:space="preserve"> In summary, relevant procedure codes and chemotherapy drugs were identified for each tumour site and a flag for each treatment type assigned if information on treatment occurred with a specific time .</t>
    </r>
  </si>
  <si>
    <t>The information in this workbook builds off the work of many others who have developed the Routes to Diagnosis work and the treatment methodology, including staff within Public Health England (PHE) and Cancer Research UK (CRUK).</t>
  </si>
  <si>
    <t>Detected via the breast or bowel screening programmes</t>
  </si>
  <si>
    <t>High mortality impact</t>
  </si>
  <si>
    <r>
      <t xml:space="preserve">• </t>
    </r>
    <r>
      <rPr>
        <sz val="12"/>
        <color rgb="FF000000"/>
        <rFont val="Arial"/>
        <family val="2"/>
      </rPr>
      <t>Radiotherapy data (RTDS) was historically processed by NATCANSAT , now collected by PHE from April 2016.</t>
    </r>
  </si>
  <si>
    <r>
      <t xml:space="preserve">• </t>
    </r>
    <r>
      <rPr>
        <sz val="12"/>
        <color rgb="FF000000"/>
        <rFont val="Arial"/>
        <family val="2"/>
      </rPr>
      <t>Chemotherapy data (Systemic Anti-Cancer Therapy, SACT) is processed and linked by PHE, with all Trusts submitting data from July 2014.</t>
    </r>
  </si>
  <si>
    <t>Number of tumours</t>
  </si>
  <si>
    <t>Comorbidity</t>
  </si>
  <si>
    <t>Age bands covering under 50, 50-59,60-69, 70-79, 80-4and 85+</t>
  </si>
  <si>
    <t>TNM stage. Early stage includes stage I and II, late stage includes III and IV. Where the stage data is null or invalid, stage is classed as unknown.</t>
  </si>
  <si>
    <t>Breakdowns</t>
  </si>
  <si>
    <t>- Stage is grouped in to early, late and unknown stage. Some sites show variation between stages I, II, III and IV which will be lost here.</t>
  </si>
  <si>
    <t>Charlson comorbidity score derived from in-patient HES data. A score of 0 represents no comorbid conditions, with the score increasing with severity and the number of comorbidities for an individual.</t>
  </si>
  <si>
    <t>Resection, Chemotherapy and Radiotherapy</t>
  </si>
  <si>
    <t>Resection, Chemotherapy and Radiotherapy
 types</t>
  </si>
  <si>
    <t>Select a Route to update the table:</t>
  </si>
  <si>
    <t>age label</t>
  </si>
  <si>
    <t>Route label</t>
  </si>
  <si>
    <r>
      <t xml:space="preserve">• </t>
    </r>
    <r>
      <rPr>
        <sz val="12"/>
        <color rgb="FF000000"/>
        <rFont val="Arial"/>
        <family val="2"/>
      </rPr>
      <t xml:space="preserve">Hospital Episode Statistics (HES) are provided by NHS Digital. Hospital Episode Statistics, NHS Digital. Copyright © 2017, re-used with the permission of NHS Digital. All rights reserved </t>
    </r>
  </si>
  <si>
    <t xml:space="preserve">Data for this project is based on patient-level information collected by the NHS, as part of the care and support of cancer patients. The data is collated, maintained and quality assured by the National Cancer Registration and Analysis Service (NCRAS), which is part of Public Health England (PHE). </t>
  </si>
  <si>
    <t>Breakdown by Route and then by age band:</t>
  </si>
  <si>
    <t>Breakdown by age band and then by Route:</t>
  </si>
  <si>
    <t>Breakdown by Route and then by stage:</t>
  </si>
  <si>
    <t>Breakdown by stage and then by Route</t>
  </si>
  <si>
    <t>Breakdown by Route and then by Charlson comorbidity score</t>
  </si>
  <si>
    <t>Breakdown by Charlson comorbidity score and then by Route</t>
  </si>
  <si>
    <t>Version 2.0, June 2018</t>
  </si>
  <si>
    <t>Percentage</t>
  </si>
  <si>
    <t>LCI</t>
  </si>
  <si>
    <t>UCI</t>
  </si>
  <si>
    <t>All treatment
 types</t>
  </si>
  <si>
    <t>Check</t>
  </si>
  <si>
    <t>Total events</t>
  </si>
  <si>
    <t/>
  </si>
  <si>
    <t>Charlson Score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</si>
</sst>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00"/>
  </numFmts>
  <fonts count="51"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Arial"/>
      <family val="2"/>
    </font>
    <font>
      <b/>
      <sz val="12"/>
      <color theme="1"/>
      <name val="Arial"/>
      <family val="2"/>
    </font>
    <font>
      <sz val="10"/>
      <color theme="1"/>
      <name val="Calibri"/>
      <family val="2"/>
      <scheme val="minor"/>
    </font>
    <font>
      <b/>
      <sz val="10"/>
      <color theme="1"/>
      <name val="Arial"/>
      <family val="2"/>
    </font>
    <font>
      <sz val="12"/>
      <color theme="1"/>
      <name val="Calibri"/>
      <family val="2"/>
      <scheme val="minor"/>
    </font>
    <font>
      <sz val="14"/>
      <color theme="1"/>
      <name val="Arial"/>
      <family val="2"/>
    </font>
    <font>
      <sz val="12"/>
      <color theme="1"/>
      <name val="Arial"/>
      <family val="2"/>
    </font>
    <font>
      <sz val="11"/>
      <color theme="1"/>
      <name val="Arial"/>
      <family val="2"/>
    </font>
    <font>
      <i/>
      <sz val="8"/>
      <color theme="1"/>
      <name val="Arial"/>
      <family val="2"/>
    </font>
    <font>
      <u/>
      <sz val="11"/>
      <color theme="10"/>
      <name val="Calibri"/>
      <family val="2"/>
      <scheme val="minor"/>
    </font>
    <font>
      <u/>
      <sz val="11"/>
      <color theme="10"/>
      <name val="Arial"/>
      <family val="2"/>
    </font>
    <font>
      <b/>
      <u/>
      <sz val="11"/>
      <color theme="1"/>
      <name val="Calibri"/>
      <family val="2"/>
      <scheme val="minor"/>
    </font>
    <font>
      <sz val="11"/>
      <color rgb="FFCCE3F1"/>
      <name val="Calibri"/>
      <family val="2"/>
      <scheme val="minor"/>
    </font>
    <font>
      <b/>
      <sz val="14"/>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0"/>
      <name val="Arial"/>
      <family val="2"/>
    </font>
    <font>
      <sz val="11"/>
      <name val="Calibri"/>
      <family val="2"/>
      <scheme val="minor"/>
    </font>
    <font>
      <b/>
      <sz val="14"/>
      <color rgb="FF98002E"/>
      <name val="Arial"/>
      <family val="2"/>
    </font>
    <font>
      <b/>
      <sz val="12"/>
      <color rgb="FF98002E"/>
      <name val="Arial"/>
      <family val="2"/>
    </font>
    <font>
      <sz val="8"/>
      <name val="Arial"/>
      <family val="2"/>
    </font>
    <font>
      <sz val="8"/>
      <color theme="1"/>
      <name val="Arial"/>
      <family val="2"/>
    </font>
    <font>
      <b/>
      <sz val="20"/>
      <color rgb="FF98002E"/>
      <name val="Arial"/>
      <family val="2"/>
    </font>
    <font>
      <b/>
      <sz val="12"/>
      <color rgb="FF000000"/>
      <name val="Arial"/>
      <family val="2"/>
    </font>
    <font>
      <b/>
      <sz val="10"/>
      <name val="Arial"/>
      <family val="2"/>
    </font>
    <font>
      <b/>
      <sz val="11"/>
      <color theme="1"/>
      <name val="Arial"/>
      <family val="2"/>
    </font>
    <font>
      <u/>
      <sz val="12"/>
      <color theme="10"/>
      <name val="Arial"/>
      <family val="2"/>
    </font>
    <font>
      <sz val="12"/>
      <name val="Arial"/>
      <family val="2"/>
    </font>
    <font>
      <b/>
      <sz val="12"/>
      <name val="Arial"/>
      <family val="2"/>
    </font>
    <font>
      <sz val="12"/>
      <color theme="1"/>
      <name val="Wingdings"/>
      <charset val="2"/>
    </font>
    <font>
      <u/>
      <sz val="12"/>
      <color rgb="FF0000FF"/>
      <name val="Arial"/>
      <family val="2"/>
    </font>
    <font>
      <sz val="12"/>
      <color rgb="FF000000"/>
      <name val="Arial"/>
      <family val="2"/>
    </font>
    <font>
      <sz val="12.65"/>
      <color rgb="FFC00000"/>
      <name val="Arial"/>
      <family val="2"/>
    </font>
    <font>
      <i/>
      <sz val="11"/>
      <color theme="1"/>
      <name val="Calibri"/>
      <family val="2"/>
      <scheme val="minor"/>
    </font>
  </fonts>
  <fills count="37">
    <fill>
      <patternFill patternType="none"/>
    </fill>
    <fill>
      <patternFill patternType="gray125"/>
    </fill>
    <fill>
      <patternFill patternType="solid">
        <fgColor rgb="FFCCE3F1"/>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BA0C7"/>
        <bgColor indexed="64"/>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B092"/>
      </left>
      <right/>
      <top style="medium">
        <color rgb="FF00B092"/>
      </top>
      <bottom style="medium">
        <color rgb="FF00B092"/>
      </bottom>
      <diagonal/>
    </border>
    <border>
      <left/>
      <right style="medium">
        <color rgb="FF00B092"/>
      </right>
      <top style="medium">
        <color rgb="FF00B092"/>
      </top>
      <bottom style="medium">
        <color rgb="FF00B092"/>
      </bottom>
      <diagonal/>
    </border>
    <border>
      <left style="medium">
        <color rgb="FF00B092"/>
      </left>
      <right style="medium">
        <color rgb="FF00B092"/>
      </right>
      <top/>
      <bottom/>
      <diagonal/>
    </border>
    <border>
      <left style="medium">
        <color rgb="FF00B092"/>
      </left>
      <right style="medium">
        <color rgb="FF00B092"/>
      </right>
      <top style="medium">
        <color rgb="FF00B092"/>
      </top>
      <bottom style="medium">
        <color rgb="FF00B092"/>
      </bottom>
      <diagonal/>
    </border>
    <border>
      <left/>
      <right/>
      <top style="medium">
        <color rgb="FF00B092"/>
      </top>
      <bottom style="medium">
        <color rgb="FF00B092"/>
      </bottom>
      <diagonal/>
    </border>
    <border>
      <left style="medium">
        <color rgb="FF00B092"/>
      </left>
      <right style="medium">
        <color rgb="FF00B092"/>
      </right>
      <top style="medium">
        <color rgb="FF00B092"/>
      </top>
      <bottom/>
      <diagonal/>
    </border>
    <border>
      <left style="medium">
        <color rgb="FF00B092"/>
      </left>
      <right/>
      <top style="medium">
        <color rgb="FF00B092"/>
      </top>
      <bottom/>
      <diagonal/>
    </border>
    <border>
      <left/>
      <right/>
      <top style="medium">
        <color rgb="FF00B092"/>
      </top>
      <bottom/>
      <diagonal/>
    </border>
    <border>
      <left/>
      <right style="medium">
        <color rgb="FF00B092"/>
      </right>
      <top style="medium">
        <color rgb="FF00B092"/>
      </top>
      <bottom/>
      <diagonal/>
    </border>
    <border>
      <left style="medium">
        <color rgb="FF00B092"/>
      </left>
      <right/>
      <top/>
      <bottom/>
      <diagonal/>
    </border>
    <border>
      <left/>
      <right style="medium">
        <color rgb="FF00B092"/>
      </right>
      <top/>
      <bottom/>
      <diagonal/>
    </border>
    <border>
      <left/>
      <right/>
      <top/>
      <bottom style="medium">
        <color rgb="FF00B092"/>
      </bottom>
      <diagonal/>
    </border>
    <border>
      <left/>
      <right style="medium">
        <color rgb="FF00B092"/>
      </right>
      <top/>
      <bottom style="medium">
        <color rgb="FF00B092"/>
      </bottom>
      <diagonal/>
    </border>
    <border>
      <left style="medium">
        <color rgb="FF00B092"/>
      </left>
      <right style="medium">
        <color rgb="FF00B092"/>
      </right>
      <top/>
      <bottom style="medium">
        <color rgb="FF00B092"/>
      </bottom>
      <diagonal/>
    </border>
  </borders>
  <cellStyleXfs count="50">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8" fillId="0" borderId="19" applyNumberFormat="0" applyFill="0" applyAlignment="0" applyProtection="0"/>
    <xf numFmtId="0" fontId="19" fillId="0" borderId="20" applyNumberFormat="0" applyFill="0" applyAlignment="0" applyProtection="0"/>
    <xf numFmtId="0" fontId="20" fillId="0" borderId="21"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22" applyNumberFormat="0" applyAlignment="0" applyProtection="0"/>
    <xf numFmtId="0" fontId="25" fillId="9" borderId="23" applyNumberFormat="0" applyAlignment="0" applyProtection="0"/>
    <xf numFmtId="0" fontId="26" fillId="9" borderId="22" applyNumberFormat="0" applyAlignment="0" applyProtection="0"/>
    <xf numFmtId="0" fontId="27" fillId="0" borderId="24" applyNumberFormat="0" applyFill="0" applyAlignment="0" applyProtection="0"/>
    <xf numFmtId="0" fontId="28" fillId="10" borderId="25" applyNumberFormat="0" applyAlignment="0" applyProtection="0"/>
    <xf numFmtId="0" fontId="29" fillId="0" borderId="0" applyNumberFormat="0" applyFill="0" applyBorder="0" applyAlignment="0" applyProtection="0"/>
    <xf numFmtId="0" fontId="1" fillId="11" borderId="26" applyNumberFormat="0" applyFont="0" applyAlignment="0" applyProtection="0"/>
    <xf numFmtId="0" fontId="30" fillId="0" borderId="0" applyNumberFormat="0" applyFill="0" applyBorder="0" applyAlignment="0" applyProtection="0"/>
    <xf numFmtId="0" fontId="2" fillId="0" borderId="27" applyNumberFormat="0" applyFill="0" applyAlignment="0" applyProtection="0"/>
    <xf numFmtId="0" fontId="3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1" fillId="35" borderId="0" applyNumberFormat="0" applyBorder="0" applyAlignment="0" applyProtection="0"/>
    <xf numFmtId="0" fontId="33" fillId="0" borderId="0"/>
    <xf numFmtId="0" fontId="37" fillId="0" borderId="0"/>
    <xf numFmtId="0" fontId="38" fillId="0" borderId="0"/>
    <xf numFmtId="0" fontId="38" fillId="0" borderId="0"/>
    <xf numFmtId="0" fontId="38" fillId="0" borderId="0"/>
  </cellStyleXfs>
  <cellXfs count="129">
    <xf numFmtId="0" fontId="0" fillId="0" borderId="0" xfId="0"/>
    <xf numFmtId="10" fontId="0" fillId="0" borderId="0" xfId="2" applyNumberFormat="1" applyFont="1"/>
    <xf numFmtId="164" fontId="0" fillId="0" borderId="0" xfId="1" applyNumberFormat="1" applyFont="1"/>
    <xf numFmtId="0" fontId="0" fillId="2" borderId="0" xfId="0" applyFill="1"/>
    <xf numFmtId="0" fontId="0" fillId="2" borderId="0" xfId="0" applyFill="1" applyBorder="1"/>
    <xf numFmtId="0" fontId="0" fillId="2" borderId="0" xfId="0" applyFont="1" applyFill="1"/>
    <xf numFmtId="0" fontId="5" fillId="2" borderId="0" xfId="0" applyFont="1" applyFill="1"/>
    <xf numFmtId="0" fontId="7" fillId="2" borderId="0" xfId="0" applyFont="1" applyFill="1"/>
    <xf numFmtId="0" fontId="9" fillId="3" borderId="15" xfId="0" applyFont="1" applyFill="1" applyBorder="1" applyAlignment="1">
      <alignment horizontal="center"/>
    </xf>
    <xf numFmtId="0" fontId="11" fillId="4" borderId="16" xfId="0" applyFont="1" applyFill="1" applyBorder="1" applyAlignment="1">
      <alignment horizontal="center"/>
    </xf>
    <xf numFmtId="9" fontId="11" fillId="4" borderId="10" xfId="0" applyNumberFormat="1" applyFont="1" applyFill="1" applyBorder="1" applyAlignment="1">
      <alignment horizontal="right"/>
    </xf>
    <xf numFmtId="0" fontId="13" fillId="2" borderId="0" xfId="3" applyFont="1" applyFill="1"/>
    <xf numFmtId="0" fontId="0" fillId="2" borderId="0" xfId="0" quotePrefix="1" applyFill="1"/>
    <xf numFmtId="0" fontId="6" fillId="3" borderId="13" xfId="0" applyFont="1" applyFill="1" applyBorder="1" applyAlignment="1">
      <alignment horizontal="center" textRotation="90" wrapText="1"/>
    </xf>
    <xf numFmtId="0" fontId="9" fillId="0" borderId="17" xfId="0" applyFont="1" applyBorder="1" applyAlignment="1">
      <alignment horizontal="center"/>
    </xf>
    <xf numFmtId="0" fontId="9" fillId="3" borderId="17" xfId="0" applyFont="1" applyFill="1" applyBorder="1" applyAlignment="1">
      <alignment horizontal="center"/>
    </xf>
    <xf numFmtId="0" fontId="6" fillId="3" borderId="18" xfId="0" applyFont="1" applyFill="1" applyBorder="1" applyAlignment="1">
      <alignment horizontal="center" textRotation="90" wrapText="1"/>
    </xf>
    <xf numFmtId="0" fontId="0" fillId="2" borderId="0" xfId="0" applyFill="1" applyAlignment="1">
      <alignment textRotation="90"/>
    </xf>
    <xf numFmtId="0" fontId="15" fillId="2" borderId="0" xfId="0" applyFont="1" applyFill="1"/>
    <xf numFmtId="0" fontId="15" fillId="2" borderId="0" xfId="0" applyFont="1" applyFill="1" applyAlignment="1">
      <alignment textRotation="90" wrapText="1"/>
    </xf>
    <xf numFmtId="9" fontId="15" fillId="2" borderId="0" xfId="2" applyFont="1" applyFill="1"/>
    <xf numFmtId="0" fontId="34" fillId="2" borderId="0" xfId="0" applyFont="1" applyFill="1" applyAlignment="1">
      <alignment vertical="top" wrapText="1"/>
    </xf>
    <xf numFmtId="0" fontId="4" fillId="0" borderId="33" xfId="0" applyFont="1" applyBorder="1" applyAlignment="1">
      <alignment vertical="center" wrapText="1"/>
    </xf>
    <xf numFmtId="0" fontId="9" fillId="0" borderId="0" xfId="0" applyFont="1" applyBorder="1"/>
    <xf numFmtId="0" fontId="0" fillId="0" borderId="0" xfId="0"/>
    <xf numFmtId="0" fontId="15" fillId="2" borderId="0" xfId="0" applyFont="1" applyFill="1"/>
    <xf numFmtId="0" fontId="35" fillId="0" borderId="0" xfId="0" applyFont="1"/>
    <xf numFmtId="0" fontId="36" fillId="0" borderId="0" xfId="0" applyFont="1" applyBorder="1" applyAlignment="1">
      <alignment vertical="top" wrapText="1"/>
    </xf>
    <xf numFmtId="0" fontId="10" fillId="0" borderId="0" xfId="0" applyFont="1"/>
    <xf numFmtId="0" fontId="41" fillId="0" borderId="0" xfId="45" applyFont="1"/>
    <xf numFmtId="0" fontId="42" fillId="0" borderId="0" xfId="0" applyFont="1"/>
    <xf numFmtId="0" fontId="43" fillId="0" borderId="0" xfId="3" applyFont="1"/>
    <xf numFmtId="0" fontId="9" fillId="0" borderId="0" xfId="0" applyFont="1"/>
    <xf numFmtId="0" fontId="15" fillId="2" borderId="0" xfId="0" applyFont="1" applyFill="1" applyAlignment="1"/>
    <xf numFmtId="0" fontId="12" fillId="0" borderId="0" xfId="3"/>
    <xf numFmtId="0" fontId="4" fillId="0" borderId="31" xfId="0" applyFont="1" applyBorder="1" applyAlignment="1">
      <alignment vertical="center" wrapText="1"/>
    </xf>
    <xf numFmtId="0" fontId="4" fillId="0" borderId="30" xfId="0" applyFont="1" applyBorder="1" applyAlignment="1">
      <alignment vertical="center" wrapText="1"/>
    </xf>
    <xf numFmtId="0" fontId="4" fillId="0" borderId="0" xfId="0" applyFont="1"/>
    <xf numFmtId="0" fontId="4" fillId="0" borderId="0" xfId="0" applyFont="1" applyAlignment="1">
      <alignment vertical="center"/>
    </xf>
    <xf numFmtId="0" fontId="4" fillId="0" borderId="0" xfId="0" applyFont="1" applyBorder="1" applyAlignment="1">
      <alignment vertical="center"/>
    </xf>
    <xf numFmtId="0" fontId="9" fillId="0" borderId="0" xfId="0" applyFont="1" applyAlignment="1">
      <alignment vertical="center" wrapText="1"/>
    </xf>
    <xf numFmtId="0" fontId="9" fillId="0" borderId="0" xfId="0" applyFont="1" applyBorder="1" applyAlignment="1">
      <alignment vertical="center" wrapText="1"/>
    </xf>
    <xf numFmtId="0" fontId="9" fillId="13" borderId="0" xfId="22" applyFont="1" applyAlignment="1">
      <alignment vertical="center" wrapText="1"/>
    </xf>
    <xf numFmtId="0" fontId="9" fillId="13" borderId="0" xfId="22" applyFont="1" applyBorder="1" applyAlignment="1">
      <alignment vertical="center" wrapText="1"/>
    </xf>
    <xf numFmtId="0" fontId="9" fillId="3" borderId="0" xfId="0" applyFont="1" applyFill="1" applyAlignment="1">
      <alignment vertical="center"/>
    </xf>
    <xf numFmtId="0" fontId="9" fillId="3" borderId="0" xfId="0" applyFont="1" applyFill="1" applyBorder="1"/>
    <xf numFmtId="0" fontId="46" fillId="3" borderId="0" xfId="0" applyFont="1" applyFill="1" applyBorder="1" applyAlignment="1">
      <alignment horizontal="center"/>
    </xf>
    <xf numFmtId="0" fontId="39" fillId="0" borderId="0" xfId="0" applyFont="1"/>
    <xf numFmtId="0" fontId="38" fillId="0" borderId="0" xfId="0" applyFont="1"/>
    <xf numFmtId="0" fontId="45" fillId="0" borderId="0" xfId="45" applyFont="1"/>
    <xf numFmtId="0" fontId="44" fillId="0" borderId="0" xfId="45" applyFont="1"/>
    <xf numFmtId="0" fontId="40" fillId="0" borderId="0" xfId="0" applyFont="1" applyAlignment="1">
      <alignment horizontal="left" wrapText="1"/>
    </xf>
    <xf numFmtId="0" fontId="34" fillId="2" borderId="0" xfId="0" quotePrefix="1" applyFont="1" applyFill="1" applyAlignment="1">
      <alignment horizontal="left" vertical="top" wrapText="1"/>
    </xf>
    <xf numFmtId="0" fontId="0" fillId="0" borderId="0" xfId="0" applyAlignment="1">
      <alignment wrapText="1"/>
    </xf>
    <xf numFmtId="0" fontId="36" fillId="0" borderId="0" xfId="0" applyFont="1"/>
    <xf numFmtId="0" fontId="43" fillId="2" borderId="0" xfId="3" applyFont="1" applyFill="1"/>
    <xf numFmtId="0" fontId="48" fillId="0" borderId="0" xfId="0" applyFont="1" applyAlignment="1">
      <alignment wrapText="1"/>
    </xf>
    <xf numFmtId="0" fontId="49" fillId="0" borderId="0" xfId="0" applyFont="1" applyAlignment="1">
      <alignment horizontal="left" vertical="center" wrapText="1"/>
    </xf>
    <xf numFmtId="0" fontId="44" fillId="0" borderId="0" xfId="3" applyFont="1" applyAlignment="1">
      <alignment wrapText="1"/>
    </xf>
    <xf numFmtId="165" fontId="0" fillId="2" borderId="0" xfId="0" applyNumberFormat="1" applyFill="1"/>
    <xf numFmtId="0" fontId="4" fillId="0" borderId="41" xfId="0" applyFont="1" applyBorder="1" applyAlignment="1">
      <alignment vertical="center"/>
    </xf>
    <xf numFmtId="0" fontId="4" fillId="0" borderId="31" xfId="0" applyFont="1" applyBorder="1" applyAlignment="1">
      <alignment vertical="center"/>
    </xf>
    <xf numFmtId="0" fontId="29" fillId="2" borderId="0" xfId="0" applyFont="1" applyFill="1"/>
    <xf numFmtId="0" fontId="15" fillId="2" borderId="0" xfId="0" applyFont="1" applyFill="1" applyAlignment="1">
      <alignment horizontal="center"/>
    </xf>
    <xf numFmtId="9" fontId="29" fillId="2" borderId="0" xfId="2" applyFont="1" applyFill="1"/>
    <xf numFmtId="0" fontId="29" fillId="2" borderId="0" xfId="0" applyFont="1" applyFill="1" applyAlignment="1"/>
    <xf numFmtId="0" fontId="29" fillId="2" borderId="0" xfId="0" applyFont="1" applyFill="1" applyAlignment="1">
      <alignment horizontal="right"/>
    </xf>
    <xf numFmtId="0" fontId="15" fillId="2" borderId="0" xfId="0" applyFont="1" applyFill="1" applyAlignment="1">
      <alignment horizontal="right"/>
    </xf>
    <xf numFmtId="0" fontId="40" fillId="0" borderId="0" xfId="0" applyFont="1" applyAlignment="1">
      <alignment horizontal="left"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9" fillId="0" borderId="32" xfId="0" applyFont="1" applyBorder="1" applyAlignment="1">
      <alignment horizontal="left" wrapText="1"/>
    </xf>
    <xf numFmtId="0" fontId="9" fillId="0" borderId="29" xfId="0" applyFont="1" applyBorder="1" applyAlignment="1">
      <alignment horizontal="left" wrapText="1"/>
    </xf>
    <xf numFmtId="0" fontId="9" fillId="0" borderId="39" xfId="0" applyFont="1" applyBorder="1" applyAlignment="1">
      <alignment horizontal="left" wrapText="1"/>
    </xf>
    <xf numFmtId="0" fontId="9" fillId="0" borderId="40" xfId="0" applyFont="1" applyBorder="1" applyAlignment="1">
      <alignment horizontal="left" wrapText="1"/>
    </xf>
    <xf numFmtId="0" fontId="9" fillId="0" borderId="28" xfId="0" applyFont="1" applyBorder="1" applyAlignment="1">
      <alignment horizontal="left" vertical="center" wrapText="1"/>
    </xf>
    <xf numFmtId="0" fontId="9" fillId="0" borderId="32" xfId="0" applyFont="1" applyBorder="1" applyAlignment="1">
      <alignment horizontal="left" vertical="center" wrapText="1"/>
    </xf>
    <xf numFmtId="0" fontId="9" fillId="0" borderId="29" xfId="0" applyFont="1" applyBorder="1" applyAlignment="1">
      <alignment horizontal="left" vertical="center" wrapText="1"/>
    </xf>
    <xf numFmtId="0" fontId="9" fillId="0" borderId="34" xfId="0" applyFont="1" applyBorder="1" applyAlignment="1">
      <alignment horizontal="left" vertical="center" wrapText="1"/>
    </xf>
    <xf numFmtId="0" fontId="9" fillId="0" borderId="37" xfId="0" applyFont="1" applyBorder="1" applyAlignment="1">
      <alignment horizontal="left" vertical="center" wrapText="1"/>
    </xf>
    <xf numFmtId="0" fontId="9" fillId="0" borderId="0" xfId="0" applyFont="1" applyBorder="1" applyAlignment="1">
      <alignment horizontal="left" vertical="center" wrapText="1"/>
    </xf>
    <xf numFmtId="0" fontId="9" fillId="0" borderId="38" xfId="0" applyFont="1" applyBorder="1" applyAlignment="1">
      <alignment horizontal="left" vertical="center" wrapText="1"/>
    </xf>
    <xf numFmtId="0" fontId="34" fillId="2" borderId="0" xfId="0" quotePrefix="1" applyFont="1" applyFill="1" applyAlignment="1">
      <alignment horizontal="left" vertical="top" wrapText="1"/>
    </xf>
    <xf numFmtId="3" fontId="10" fillId="3" borderId="1" xfId="0" applyNumberFormat="1" applyFont="1" applyFill="1" applyBorder="1" applyAlignment="1">
      <alignment horizontal="center" vertical="center"/>
    </xf>
    <xf numFmtId="3" fontId="10" fillId="3" borderId="8" xfId="0" applyNumberFormat="1" applyFont="1" applyFill="1" applyBorder="1" applyAlignment="1">
      <alignment horizontal="center" vertical="center"/>
    </xf>
    <xf numFmtId="9" fontId="4" fillId="3" borderId="3" xfId="0" applyNumberFormat="1" applyFont="1" applyFill="1" applyBorder="1" applyAlignment="1">
      <alignment horizontal="center" vertical="center"/>
    </xf>
    <xf numFmtId="9" fontId="10" fillId="3" borderId="3" xfId="0" applyNumberFormat="1" applyFont="1" applyFill="1" applyBorder="1" applyAlignment="1">
      <alignment horizontal="center" vertical="center"/>
    </xf>
    <xf numFmtId="9" fontId="10" fillId="3" borderId="1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6" fillId="3" borderId="12" xfId="0" applyFont="1" applyFill="1" applyBorder="1" applyAlignment="1">
      <alignment horizontal="center" textRotation="90" wrapText="1"/>
    </xf>
    <xf numFmtId="0" fontId="6" fillId="3" borderId="14" xfId="0" applyFont="1" applyFill="1" applyBorder="1" applyAlignment="1">
      <alignment horizontal="center" textRotation="90" wrapText="1"/>
    </xf>
    <xf numFmtId="0" fontId="0" fillId="2" borderId="0" xfId="0" quotePrefix="1" applyFill="1" applyAlignment="1">
      <alignment wrapText="1"/>
    </xf>
    <xf numFmtId="0" fontId="0" fillId="0" borderId="0" xfId="0" applyAlignment="1">
      <alignment wrapText="1"/>
    </xf>
    <xf numFmtId="0" fontId="32" fillId="36" borderId="1" xfId="0" applyFont="1" applyFill="1" applyBorder="1" applyAlignment="1">
      <alignment horizontal="center" vertical="center" textRotation="90" wrapText="1"/>
    </xf>
    <xf numFmtId="0" fontId="32" fillId="36" borderId="5" xfId="0" applyFont="1" applyFill="1" applyBorder="1" applyAlignment="1">
      <alignment horizontal="center" vertical="center" textRotation="90" wrapText="1"/>
    </xf>
    <xf numFmtId="0" fontId="32" fillId="36" borderId="8" xfId="0" applyFont="1" applyFill="1" applyBorder="1" applyAlignment="1">
      <alignment horizontal="center" vertical="center" textRotation="90" wrapText="1"/>
    </xf>
    <xf numFmtId="0" fontId="14" fillId="2" borderId="0" xfId="0" applyFont="1" applyFill="1" applyAlignment="1">
      <alignment wrapText="1"/>
    </xf>
    <xf numFmtId="0" fontId="2" fillId="0" borderId="0" xfId="0" applyFont="1" applyAlignment="1">
      <alignment wrapText="1"/>
    </xf>
    <xf numFmtId="0" fontId="2" fillId="3" borderId="12" xfId="0" applyFont="1" applyFill="1" applyBorder="1" applyAlignment="1">
      <alignment horizontal="center"/>
    </xf>
    <xf numFmtId="0" fontId="2" fillId="3" borderId="14" xfId="0" applyFont="1" applyFill="1" applyBorder="1" applyAlignment="1">
      <alignment horizontal="center"/>
    </xf>
    <xf numFmtId="0" fontId="2" fillId="3" borderId="13" xfId="0" applyFont="1" applyFill="1" applyBorder="1" applyAlignment="1">
      <alignment horizontal="center"/>
    </xf>
    <xf numFmtId="0" fontId="50" fillId="3" borderId="1" xfId="0" applyFont="1" applyFill="1" applyBorder="1" applyAlignment="1">
      <alignment horizontal="center" wrapText="1"/>
    </xf>
    <xf numFmtId="0" fontId="50" fillId="3" borderId="8"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5" fillId="2" borderId="0" xfId="0" applyFont="1" applyFill="1" applyAlignment="1">
      <alignment horizontal="center"/>
    </xf>
    <xf numFmtId="0" fontId="8" fillId="36" borderId="1" xfId="0" applyFont="1" applyFill="1" applyBorder="1" applyAlignment="1">
      <alignment horizontal="center" vertical="center" textRotation="90" wrapText="1"/>
    </xf>
    <xf numFmtId="0" fontId="8" fillId="36" borderId="5" xfId="0" applyFont="1" applyFill="1" applyBorder="1" applyAlignment="1">
      <alignment horizontal="center" vertical="center" textRotation="90" wrapText="1"/>
    </xf>
    <xf numFmtId="0" fontId="8" fillId="36" borderId="8" xfId="0" applyFont="1" applyFill="1" applyBorder="1" applyAlignment="1">
      <alignment horizontal="center" vertical="center" textRotation="90" wrapText="1"/>
    </xf>
  </cellXfs>
  <cellStyles count="5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3" builtinId="8"/>
    <cellStyle name="Input" xfId="12" builtinId="20" customBuiltin="1"/>
    <cellStyle name="Linked Cell" xfId="15" builtinId="24" customBuiltin="1"/>
    <cellStyle name="Neutral" xfId="11" builtinId="28" customBuiltin="1"/>
    <cellStyle name="Normal" xfId="0" builtinId="0"/>
    <cellStyle name="Normal 2" xfId="48"/>
    <cellStyle name="Normal 2 2" xfId="47"/>
    <cellStyle name="Normal 3" xfId="49"/>
    <cellStyle name="Normal 4" xfId="46"/>
    <cellStyle name="Normal 5" xfId="45"/>
    <cellStyle name="Note" xfId="18" builtinId="10" customBuiltin="1"/>
    <cellStyle name="Output" xfId="13" builtinId="21" customBuiltin="1"/>
    <cellStyle name="Percent" xfId="2" builtinId="5"/>
    <cellStyle name="Title" xfId="4" builtinId="15" customBuiltin="1"/>
    <cellStyle name="Total" xfId="20" builtinId="25" customBuiltin="1"/>
    <cellStyle name="Warning Text" xfId="17" builtinId="11" customBuiltin="1"/>
  </cellStyles>
  <dxfs count="21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800000"/>
        </patternFill>
      </fill>
    </dxf>
    <dxf>
      <font>
        <b/>
        <i val="0"/>
        <color theme="0"/>
      </font>
      <fill>
        <patternFill>
          <bgColor rgb="FF800000"/>
        </patternFill>
      </fill>
    </dxf>
    <dxf>
      <font>
        <b/>
        <i val="0"/>
        <color theme="0"/>
      </font>
      <fill>
        <patternFill>
          <bgColor rgb="FF80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9E49"/>
        </patternFill>
      </fill>
    </dxf>
    <dxf>
      <fill>
        <patternFill>
          <bgColor rgb="FF009E49"/>
        </patternFill>
      </fill>
    </dxf>
    <dxf>
      <fill>
        <patternFill>
          <bgColor rgb="FF99C6E3"/>
        </patternFill>
      </fill>
    </dxf>
    <dxf>
      <font>
        <color auto="1"/>
      </font>
      <fill>
        <patternFill>
          <bgColor rgb="FFCBA0C7"/>
        </patternFill>
      </fill>
    </dxf>
    <dxf>
      <fill>
        <patternFill>
          <bgColor rgb="FF99C6E3"/>
        </patternFill>
      </fill>
    </dxf>
    <dxf>
      <fill>
        <patternFill>
          <bgColor rgb="FF009E49"/>
        </patternFill>
      </fill>
    </dxf>
    <dxf>
      <fill>
        <patternFill>
          <bgColor rgb="FF99C6E3"/>
        </patternFill>
      </fill>
    </dxf>
    <dxf>
      <fill>
        <patternFill>
          <bgColor rgb="FF009E49"/>
        </patternFill>
      </fill>
    </dxf>
    <dxf>
      <fill>
        <patternFill>
          <bgColor rgb="FF99C6E3"/>
        </patternFill>
      </fill>
    </dxf>
    <dxf>
      <fill>
        <patternFill>
          <bgColor rgb="FF009E49"/>
        </patternFill>
      </fill>
    </dxf>
    <dxf>
      <fill>
        <patternFill>
          <bgColor rgb="FF99C6E3"/>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800000"/>
        </patternFill>
      </fill>
    </dxf>
    <dxf>
      <font>
        <b/>
        <i val="0"/>
        <color theme="0"/>
      </font>
      <fill>
        <patternFill>
          <bgColor rgb="FF800000"/>
        </patternFill>
      </fill>
    </dxf>
    <dxf>
      <font>
        <b/>
        <i val="0"/>
        <color theme="0"/>
      </font>
      <fill>
        <patternFill>
          <bgColor rgb="FF80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9E49"/>
        </patternFill>
      </fill>
    </dxf>
    <dxf>
      <fill>
        <patternFill>
          <bgColor rgb="FF009E49"/>
        </patternFill>
      </fill>
    </dxf>
    <dxf>
      <fill>
        <patternFill>
          <bgColor rgb="FF99C6E3"/>
        </patternFill>
      </fill>
    </dxf>
    <dxf>
      <font>
        <color auto="1"/>
      </font>
      <fill>
        <patternFill>
          <bgColor rgb="FFCBA0C7"/>
        </patternFill>
      </fill>
    </dxf>
    <dxf>
      <fill>
        <patternFill>
          <bgColor rgb="FF99C6E3"/>
        </patternFill>
      </fill>
    </dxf>
    <dxf>
      <fill>
        <patternFill>
          <bgColor rgb="FF009E49"/>
        </patternFill>
      </fill>
    </dxf>
    <dxf>
      <fill>
        <patternFill>
          <bgColor rgb="FF99C6E3"/>
        </patternFill>
      </fill>
    </dxf>
    <dxf>
      <fill>
        <patternFill>
          <bgColor rgb="FF009E49"/>
        </patternFill>
      </fill>
    </dxf>
    <dxf>
      <fill>
        <patternFill>
          <bgColor rgb="FF99C6E3"/>
        </patternFill>
      </fill>
    </dxf>
    <dxf>
      <fill>
        <patternFill>
          <bgColor rgb="FF009E49"/>
        </patternFill>
      </fill>
    </dxf>
    <dxf>
      <fill>
        <patternFill>
          <bgColor rgb="FF99C6E3"/>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800000"/>
        </patternFill>
      </fill>
    </dxf>
    <dxf>
      <font>
        <b/>
        <i val="0"/>
        <color theme="0"/>
      </font>
      <fill>
        <patternFill>
          <bgColor rgb="FF800000"/>
        </patternFill>
      </fill>
    </dxf>
    <dxf>
      <font>
        <b/>
        <i val="0"/>
        <color theme="0"/>
      </font>
      <fill>
        <patternFill>
          <bgColor rgb="FF80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9E49"/>
        </patternFill>
      </fill>
    </dxf>
    <dxf>
      <fill>
        <patternFill>
          <bgColor rgb="FF009E49"/>
        </patternFill>
      </fill>
    </dxf>
    <dxf>
      <fill>
        <patternFill>
          <bgColor rgb="FF99C6E3"/>
        </patternFill>
      </fill>
    </dxf>
    <dxf>
      <font>
        <color auto="1"/>
      </font>
      <fill>
        <patternFill>
          <bgColor rgb="FFCBA0C7"/>
        </patternFill>
      </fill>
    </dxf>
    <dxf>
      <fill>
        <patternFill>
          <bgColor rgb="FF99C6E3"/>
        </patternFill>
      </fill>
    </dxf>
    <dxf>
      <fill>
        <patternFill>
          <bgColor rgb="FF009E49"/>
        </patternFill>
      </fill>
    </dxf>
    <dxf>
      <fill>
        <patternFill>
          <bgColor rgb="FF99C6E3"/>
        </patternFill>
      </fill>
    </dxf>
    <dxf>
      <fill>
        <patternFill>
          <bgColor rgb="FF009E49"/>
        </patternFill>
      </fill>
    </dxf>
    <dxf>
      <fill>
        <patternFill>
          <bgColor rgb="FF99C6E3"/>
        </patternFill>
      </fill>
    </dxf>
    <dxf>
      <fill>
        <patternFill>
          <bgColor rgb="FF009E49"/>
        </patternFill>
      </fill>
    </dxf>
    <dxf>
      <fill>
        <patternFill>
          <bgColor rgb="FF99C6E3"/>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9E49"/>
        </patternFill>
      </fill>
    </dxf>
    <dxf>
      <fill>
        <patternFill>
          <bgColor rgb="FF009E49"/>
        </patternFill>
      </fill>
    </dxf>
    <dxf>
      <fill>
        <patternFill>
          <bgColor rgb="FF99C6E3"/>
        </patternFill>
      </fill>
    </dxf>
    <dxf>
      <font>
        <color auto="1"/>
      </font>
      <fill>
        <patternFill>
          <bgColor rgb="FFCBA0C7"/>
        </patternFill>
      </fill>
    </dxf>
    <dxf>
      <fill>
        <patternFill>
          <bgColor rgb="FF99C6E3"/>
        </patternFill>
      </fill>
    </dxf>
    <dxf>
      <fill>
        <patternFill>
          <bgColor rgb="FF009E49"/>
        </patternFill>
      </fill>
    </dxf>
    <dxf>
      <fill>
        <patternFill>
          <bgColor rgb="FF99C6E3"/>
        </patternFill>
      </fill>
    </dxf>
    <dxf>
      <fill>
        <patternFill>
          <bgColor rgb="FF009E49"/>
        </patternFill>
      </fill>
    </dxf>
    <dxf>
      <fill>
        <patternFill>
          <bgColor rgb="FF99C6E3"/>
        </patternFill>
      </fill>
    </dxf>
    <dxf>
      <fill>
        <patternFill>
          <bgColor rgb="FF009E49"/>
        </patternFill>
      </fill>
    </dxf>
    <dxf>
      <fill>
        <patternFill>
          <bgColor rgb="FF99C6E3"/>
        </patternFill>
      </fill>
    </dxf>
  </dxfs>
  <tableStyles count="0" defaultTableStyle="TableStyleMedium2" defaultPivotStyle="PivotStyleLight16"/>
  <colors>
    <mruColors>
      <color rgb="FFCCE3F1"/>
      <color rgb="FF00427E"/>
      <color rgb="FF00549F"/>
      <color rgb="FFA0C5D0"/>
      <color rgb="FF8CB8C6"/>
      <color rgb="FF35BDDD"/>
      <color rgb="FF007E39"/>
      <color rgb="FF009E49"/>
      <color rgb="FFFF7128"/>
      <color rgb="FFFFEF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Lookups!$H$3</c:f>
          <c:strCache>
            <c:ptCount val="1"/>
            <c:pt idx="0">
              <c:v>Treatment type by Route, 2013-2015, Breast, England</c:v>
            </c:pt>
          </c:strCache>
        </c:strRef>
      </c:tx>
      <c:layout>
        <c:manualLayout>
          <c:xMode val="edge"/>
          <c:yMode val="edge"/>
          <c:x val="0.1624696731090432"/>
          <c:y val="7.3126142595978062E-3"/>
        </c:manualLayout>
      </c:layout>
      <c:overlay val="0"/>
      <c:txPr>
        <a:bodyPr/>
        <a:lstStyle/>
        <a:p>
          <a:pPr>
            <a:defRPr/>
          </a:pPr>
          <a:endParaRPr lang="en-US"/>
        </a:p>
      </c:txPr>
    </c:title>
    <c:autoTitleDeleted val="0"/>
    <c:plotArea>
      <c:layout>
        <c:manualLayout>
          <c:layoutTarget val="inner"/>
          <c:xMode val="edge"/>
          <c:yMode val="edge"/>
          <c:x val="8.341732283464566E-2"/>
          <c:y val="6.221151014659753E-2"/>
          <c:w val="0.62007835838701986"/>
          <c:h val="0.79917085318631342"/>
        </c:manualLayout>
      </c:layout>
      <c:barChart>
        <c:barDir val="col"/>
        <c:grouping val="stacked"/>
        <c:varyColors val="0"/>
        <c:ser>
          <c:idx val="0"/>
          <c:order val="0"/>
          <c:tx>
            <c:strRef>
              <c:f>Modality!$AA$6</c:f>
              <c:strCache>
                <c:ptCount val="1"/>
                <c:pt idx="0">
                  <c:v>Tumour resection only</c:v>
                </c:pt>
              </c:strCache>
            </c:strRef>
          </c:tx>
          <c:spPr>
            <a:solidFill>
              <a:srgbClr val="00B092"/>
            </a:solidFill>
          </c:spPr>
          <c:invertIfNegative val="0"/>
          <c:cat>
            <c:strRef>
              <c:f>Modality!$Z$7:$Z$13</c:f>
              <c:strCache>
                <c:ptCount val="7"/>
                <c:pt idx="0">
                  <c:v>Screen detected</c:v>
                </c:pt>
                <c:pt idx="1">
                  <c:v>Two Week Wait</c:v>
                </c:pt>
                <c:pt idx="2">
                  <c:v>GP referral</c:v>
                </c:pt>
                <c:pt idx="3">
                  <c:v>IP &amp; OP</c:v>
                </c:pt>
                <c:pt idx="4">
                  <c:v>Emergency presentation</c:v>
                </c:pt>
                <c:pt idx="5">
                  <c:v>Unknown</c:v>
                </c:pt>
                <c:pt idx="6">
                  <c:v>All Routes</c:v>
                </c:pt>
              </c:strCache>
            </c:strRef>
          </c:cat>
          <c:val>
            <c:numRef>
              <c:f>Modality!$AA$7:$AA$13</c:f>
              <c:numCache>
                <c:formatCode>0%</c:formatCode>
                <c:ptCount val="7"/>
                <c:pt idx="0">
                  <c:v>0.14494787489975941</c:v>
                </c:pt>
                <c:pt idx="1">
                  <c:v>0.15302166156266681</c:v>
                </c:pt>
                <c:pt idx="2">
                  <c:v>0.21090201168072681</c:v>
                </c:pt>
                <c:pt idx="3">
                  <c:v>0.23100473142220984</c:v>
                </c:pt>
                <c:pt idx="4">
                  <c:v>7.2302767840331392E-2</c:v>
                </c:pt>
                <c:pt idx="5">
                  <c:v>0.2564051240992794</c:v>
                </c:pt>
                <c:pt idx="6">
                  <c:v>0.15855168295489303</c:v>
                </c:pt>
              </c:numCache>
            </c:numRef>
          </c:val>
        </c:ser>
        <c:ser>
          <c:idx val="1"/>
          <c:order val="1"/>
          <c:tx>
            <c:strRef>
              <c:f>Modality!$AD$6</c:f>
              <c:strCache>
                <c:ptCount val="1"/>
                <c:pt idx="0">
                  <c:v>Tumour resection
 and Chemotherapy</c:v>
                </c:pt>
              </c:strCache>
            </c:strRef>
          </c:tx>
          <c:spPr>
            <a:solidFill>
              <a:srgbClr val="007E39"/>
            </a:solidFill>
          </c:spPr>
          <c:invertIfNegative val="0"/>
          <c:cat>
            <c:strRef>
              <c:f>Modality!$Z$7:$Z$13</c:f>
              <c:strCache>
                <c:ptCount val="7"/>
                <c:pt idx="0">
                  <c:v>Screen detected</c:v>
                </c:pt>
                <c:pt idx="1">
                  <c:v>Two Week Wait</c:v>
                </c:pt>
                <c:pt idx="2">
                  <c:v>GP referral</c:v>
                </c:pt>
                <c:pt idx="3">
                  <c:v>IP &amp; OP</c:v>
                </c:pt>
                <c:pt idx="4">
                  <c:v>Emergency presentation</c:v>
                </c:pt>
                <c:pt idx="5">
                  <c:v>Unknown</c:v>
                </c:pt>
                <c:pt idx="6">
                  <c:v>All Routes</c:v>
                </c:pt>
              </c:strCache>
            </c:strRef>
          </c:cat>
          <c:val>
            <c:numRef>
              <c:f>Modality!$AD$7:$AD$13</c:f>
              <c:numCache>
                <c:formatCode>0%</c:formatCode>
                <c:ptCount val="7"/>
                <c:pt idx="0">
                  <c:v>3.8742983159583001E-2</c:v>
                </c:pt>
                <c:pt idx="1">
                  <c:v>7.0786390582417896E-2</c:v>
                </c:pt>
                <c:pt idx="2">
                  <c:v>6.8786502271252437E-2</c:v>
                </c:pt>
                <c:pt idx="3">
                  <c:v>7.7929306985805732E-2</c:v>
                </c:pt>
                <c:pt idx="4">
                  <c:v>1.5816230465072492E-2</c:v>
                </c:pt>
                <c:pt idx="5">
                  <c:v>5.944755804643715E-2</c:v>
                </c:pt>
                <c:pt idx="6">
                  <c:v>5.8943474271399232E-2</c:v>
                </c:pt>
              </c:numCache>
            </c:numRef>
          </c:val>
        </c:ser>
        <c:ser>
          <c:idx val="2"/>
          <c:order val="2"/>
          <c:tx>
            <c:strRef>
              <c:f>Modality!$AE$6</c:f>
              <c:strCache>
                <c:ptCount val="1"/>
                <c:pt idx="0">
                  <c:v>Tumour resection
 and Radiotherapy</c:v>
                </c:pt>
              </c:strCache>
            </c:strRef>
          </c:tx>
          <c:spPr>
            <a:solidFill>
              <a:srgbClr val="80D2A8"/>
            </a:solidFill>
          </c:spPr>
          <c:invertIfNegative val="0"/>
          <c:cat>
            <c:strRef>
              <c:f>Modality!$Z$7:$Z$13</c:f>
              <c:strCache>
                <c:ptCount val="7"/>
                <c:pt idx="0">
                  <c:v>Screen detected</c:v>
                </c:pt>
                <c:pt idx="1">
                  <c:v>Two Week Wait</c:v>
                </c:pt>
                <c:pt idx="2">
                  <c:v>GP referral</c:v>
                </c:pt>
                <c:pt idx="3">
                  <c:v>IP &amp; OP</c:v>
                </c:pt>
                <c:pt idx="4">
                  <c:v>Emergency presentation</c:v>
                </c:pt>
                <c:pt idx="5">
                  <c:v>Unknown</c:v>
                </c:pt>
                <c:pt idx="6">
                  <c:v>All Routes</c:v>
                </c:pt>
              </c:strCache>
            </c:strRef>
          </c:cat>
          <c:val>
            <c:numRef>
              <c:f>Modality!$AE$7:$AE$13</c:f>
              <c:numCache>
                <c:formatCode>0%</c:formatCode>
                <c:ptCount val="7"/>
                <c:pt idx="0">
                  <c:v>0.58535485164394552</c:v>
                </c:pt>
                <c:pt idx="1">
                  <c:v>0.26382996656645968</c:v>
                </c:pt>
                <c:pt idx="2">
                  <c:v>0.20368267358857883</c:v>
                </c:pt>
                <c:pt idx="3">
                  <c:v>0.25048705816866129</c:v>
                </c:pt>
                <c:pt idx="4">
                  <c:v>5.9687441159856899E-2</c:v>
                </c:pt>
                <c:pt idx="5">
                  <c:v>0.25300240192153722</c:v>
                </c:pt>
                <c:pt idx="6">
                  <c:v>0.34322521446569276</c:v>
                </c:pt>
              </c:numCache>
            </c:numRef>
          </c:val>
        </c:ser>
        <c:ser>
          <c:idx val="4"/>
          <c:order val="3"/>
          <c:tx>
            <c:strRef>
              <c:f>Modality!$AC$6</c:f>
              <c:strCache>
                <c:ptCount val="1"/>
                <c:pt idx="0">
                  <c:v>Radiotherapy only</c:v>
                </c:pt>
              </c:strCache>
            </c:strRef>
          </c:tx>
          <c:spPr>
            <a:solidFill>
              <a:srgbClr val="00549F"/>
            </a:solidFill>
          </c:spPr>
          <c:invertIfNegative val="0"/>
          <c:cat>
            <c:strRef>
              <c:f>Modality!$Z$7:$Z$13</c:f>
              <c:strCache>
                <c:ptCount val="7"/>
                <c:pt idx="0">
                  <c:v>Screen detected</c:v>
                </c:pt>
                <c:pt idx="1">
                  <c:v>Two Week Wait</c:v>
                </c:pt>
                <c:pt idx="2">
                  <c:v>GP referral</c:v>
                </c:pt>
                <c:pt idx="3">
                  <c:v>IP &amp; OP</c:v>
                </c:pt>
                <c:pt idx="4">
                  <c:v>Emergency presentation</c:v>
                </c:pt>
                <c:pt idx="5">
                  <c:v>Unknown</c:v>
                </c:pt>
                <c:pt idx="6">
                  <c:v>All Routes</c:v>
                </c:pt>
              </c:strCache>
            </c:strRef>
          </c:cat>
          <c:val>
            <c:numRef>
              <c:f>Modality!$AC$7:$AC$13</c:f>
              <c:numCache>
                <c:formatCode>0%</c:formatCode>
                <c:ptCount val="7"/>
                <c:pt idx="0">
                  <c:v>9.4476744186046506E-3</c:v>
                </c:pt>
                <c:pt idx="1">
                  <c:v>1.0858876745427471E-2</c:v>
                </c:pt>
                <c:pt idx="2">
                  <c:v>5.0129785853341984E-2</c:v>
                </c:pt>
                <c:pt idx="3">
                  <c:v>3.4789869190091846E-2</c:v>
                </c:pt>
                <c:pt idx="4">
                  <c:v>8.2282056109960464E-2</c:v>
                </c:pt>
                <c:pt idx="5">
                  <c:v>5.244195356285028E-2</c:v>
                </c:pt>
                <c:pt idx="6">
                  <c:v>1.887589391048515E-2</c:v>
                </c:pt>
              </c:numCache>
            </c:numRef>
          </c:val>
        </c:ser>
        <c:ser>
          <c:idx val="3"/>
          <c:order val="4"/>
          <c:tx>
            <c:strRef>
              <c:f>Modality!$AB$6</c:f>
              <c:strCache>
                <c:ptCount val="1"/>
                <c:pt idx="0">
                  <c:v>Chemotherapy only</c:v>
                </c:pt>
              </c:strCache>
            </c:strRef>
          </c:tx>
          <c:spPr>
            <a:solidFill>
              <a:srgbClr val="E9994A"/>
            </a:solidFill>
          </c:spPr>
          <c:invertIfNegative val="0"/>
          <c:cat>
            <c:strRef>
              <c:f>Modality!$Z$7:$Z$13</c:f>
              <c:strCache>
                <c:ptCount val="7"/>
                <c:pt idx="0">
                  <c:v>Screen detected</c:v>
                </c:pt>
                <c:pt idx="1">
                  <c:v>Two Week Wait</c:v>
                </c:pt>
                <c:pt idx="2">
                  <c:v>GP referral</c:v>
                </c:pt>
                <c:pt idx="3">
                  <c:v>IP &amp; OP</c:v>
                </c:pt>
                <c:pt idx="4">
                  <c:v>Emergency presentation</c:v>
                </c:pt>
                <c:pt idx="5">
                  <c:v>Unknown</c:v>
                </c:pt>
                <c:pt idx="6">
                  <c:v>All Routes</c:v>
                </c:pt>
              </c:strCache>
            </c:strRef>
          </c:cat>
          <c:val>
            <c:numRef>
              <c:f>Modality!$AB$7:$AB$13</c:f>
              <c:numCache>
                <c:formatCode>0%</c:formatCode>
                <c:ptCount val="7"/>
                <c:pt idx="0">
                  <c:v>3.1575781876503608E-3</c:v>
                </c:pt>
                <c:pt idx="1">
                  <c:v>1.691343803556879E-2</c:v>
                </c:pt>
                <c:pt idx="2">
                  <c:v>3.6177806619078517E-2</c:v>
                </c:pt>
                <c:pt idx="3">
                  <c:v>4.842749791260785E-2</c:v>
                </c:pt>
                <c:pt idx="4">
                  <c:v>5.3285633590660894E-2</c:v>
                </c:pt>
                <c:pt idx="5">
                  <c:v>2.3618895116092876E-2</c:v>
                </c:pt>
                <c:pt idx="6">
                  <c:v>1.7120843589332791E-2</c:v>
                </c:pt>
              </c:numCache>
            </c:numRef>
          </c:val>
        </c:ser>
        <c:ser>
          <c:idx val="5"/>
          <c:order val="5"/>
          <c:tx>
            <c:strRef>
              <c:f>Modality!$AF$6</c:f>
              <c:strCache>
                <c:ptCount val="1"/>
                <c:pt idx="0">
                  <c:v>Chemotherapy and Radiotherapy</c:v>
                </c:pt>
              </c:strCache>
            </c:strRef>
          </c:tx>
          <c:spPr>
            <a:solidFill>
              <a:srgbClr val="A0C5D0"/>
            </a:solidFill>
          </c:spPr>
          <c:invertIfNegative val="0"/>
          <c:cat>
            <c:strRef>
              <c:f>Modality!$Z$7:$Z$13</c:f>
              <c:strCache>
                <c:ptCount val="7"/>
                <c:pt idx="0">
                  <c:v>Screen detected</c:v>
                </c:pt>
                <c:pt idx="1">
                  <c:v>Two Week Wait</c:v>
                </c:pt>
                <c:pt idx="2">
                  <c:v>GP referral</c:v>
                </c:pt>
                <c:pt idx="3">
                  <c:v>IP &amp; OP</c:v>
                </c:pt>
                <c:pt idx="4">
                  <c:v>Emergency presentation</c:v>
                </c:pt>
                <c:pt idx="5">
                  <c:v>Unknown</c:v>
                </c:pt>
                <c:pt idx="6">
                  <c:v>All Routes</c:v>
                </c:pt>
              </c:strCache>
            </c:strRef>
          </c:cat>
          <c:val>
            <c:numRef>
              <c:f>Modality!$AF$7:$AF$13</c:f>
              <c:numCache>
                <c:formatCode>0%</c:formatCode>
                <c:ptCount val="7"/>
                <c:pt idx="0">
                  <c:v>3.6337209302325581E-3</c:v>
                </c:pt>
                <c:pt idx="1">
                  <c:v>1.1238164807686905E-2</c:v>
                </c:pt>
                <c:pt idx="2">
                  <c:v>3.1716417910447763E-2</c:v>
                </c:pt>
                <c:pt idx="3">
                  <c:v>3.3676593376008909E-2</c:v>
                </c:pt>
                <c:pt idx="4">
                  <c:v>4.3494633778949347E-2</c:v>
                </c:pt>
                <c:pt idx="5">
                  <c:v>2.822257806244996E-2</c:v>
                </c:pt>
                <c:pt idx="6">
                  <c:v>1.331944828791564E-2</c:v>
                </c:pt>
              </c:numCache>
            </c:numRef>
          </c:val>
        </c:ser>
        <c:ser>
          <c:idx val="6"/>
          <c:order val="6"/>
          <c:tx>
            <c:strRef>
              <c:f>Modality!$AH$6</c:f>
              <c:strCache>
                <c:ptCount val="1"/>
                <c:pt idx="0">
                  <c:v>Resection, Chemotherapy and Radiotherapy</c:v>
                </c:pt>
              </c:strCache>
            </c:strRef>
          </c:tx>
          <c:spPr>
            <a:solidFill>
              <a:schemeClr val="accent5">
                <a:lumMod val="75000"/>
              </a:schemeClr>
            </a:solidFill>
          </c:spPr>
          <c:invertIfNegative val="0"/>
          <c:cat>
            <c:strRef>
              <c:f>Modality!$Z$7:$Z$13</c:f>
              <c:strCache>
                <c:ptCount val="7"/>
                <c:pt idx="0">
                  <c:v>Screen detected</c:v>
                </c:pt>
                <c:pt idx="1">
                  <c:v>Two Week Wait</c:v>
                </c:pt>
                <c:pt idx="2">
                  <c:v>GP referral</c:v>
                </c:pt>
                <c:pt idx="3">
                  <c:v>IP &amp; OP</c:v>
                </c:pt>
                <c:pt idx="4">
                  <c:v>Emergency presentation</c:v>
                </c:pt>
                <c:pt idx="5">
                  <c:v>Unknown</c:v>
                </c:pt>
                <c:pt idx="6">
                  <c:v>All Routes</c:v>
                </c:pt>
              </c:strCache>
            </c:strRef>
          </c:cat>
          <c:val>
            <c:numRef>
              <c:f>Modality!$AH$7:$AH$13</c:f>
              <c:numCache>
                <c:formatCode>0%</c:formatCode>
                <c:ptCount val="7"/>
                <c:pt idx="0">
                  <c:v>0.19296311146752204</c:v>
                </c:pt>
                <c:pt idx="1">
                  <c:v>0.32878655915489002</c:v>
                </c:pt>
                <c:pt idx="2">
                  <c:v>0.17147955872809864</c:v>
                </c:pt>
                <c:pt idx="3">
                  <c:v>0.14082939048149179</c:v>
                </c:pt>
                <c:pt idx="4">
                  <c:v>5.1402749011485595E-2</c:v>
                </c:pt>
                <c:pt idx="5">
                  <c:v>0.14311449159327461</c:v>
                </c:pt>
                <c:pt idx="6">
                  <c:v>0.25279278754424039</c:v>
                </c:pt>
              </c:numCache>
            </c:numRef>
          </c:val>
        </c:ser>
        <c:ser>
          <c:idx val="7"/>
          <c:order val="7"/>
          <c:tx>
            <c:strRef>
              <c:f>Modality!$AG$6</c:f>
              <c:strCache>
                <c:ptCount val="1"/>
                <c:pt idx="0">
                  <c:v>Other care</c:v>
                </c:pt>
              </c:strCache>
            </c:strRef>
          </c:tx>
          <c:spPr>
            <a:solidFill>
              <a:schemeClr val="tx1">
                <a:lumMod val="65000"/>
                <a:lumOff val="35000"/>
              </a:schemeClr>
            </a:solidFill>
          </c:spPr>
          <c:invertIfNegative val="0"/>
          <c:cat>
            <c:strRef>
              <c:f>Modality!$Z$7:$Z$13</c:f>
              <c:strCache>
                <c:ptCount val="7"/>
                <c:pt idx="0">
                  <c:v>Screen detected</c:v>
                </c:pt>
                <c:pt idx="1">
                  <c:v>Two Week Wait</c:v>
                </c:pt>
                <c:pt idx="2">
                  <c:v>GP referral</c:v>
                </c:pt>
                <c:pt idx="3">
                  <c:v>IP &amp; OP</c:v>
                </c:pt>
                <c:pt idx="4">
                  <c:v>Emergency presentation</c:v>
                </c:pt>
                <c:pt idx="5">
                  <c:v>Unknown</c:v>
                </c:pt>
                <c:pt idx="6">
                  <c:v>All Routes</c:v>
                </c:pt>
              </c:strCache>
            </c:strRef>
          </c:cat>
          <c:val>
            <c:numRef>
              <c:f>Modality!$AG$7:$AG$13</c:f>
              <c:numCache>
                <c:formatCode>0%</c:formatCode>
                <c:ptCount val="7"/>
                <c:pt idx="0">
                  <c:v>2.1752205292702487E-2</c:v>
                </c:pt>
                <c:pt idx="1">
                  <c:v>0.14456494254488242</c:v>
                </c:pt>
                <c:pt idx="2">
                  <c:v>0.227125243348475</c:v>
                </c:pt>
                <c:pt idx="3">
                  <c:v>0.18285555246312274</c:v>
                </c:pt>
                <c:pt idx="4">
                  <c:v>0.62172848804368297</c:v>
                </c:pt>
                <c:pt idx="5">
                  <c:v>0.18374699759807847</c:v>
                </c:pt>
                <c:pt idx="6">
                  <c:v>0.137170654976041</c:v>
                </c:pt>
              </c:numCache>
            </c:numRef>
          </c:val>
        </c:ser>
        <c:dLbls>
          <c:showLegendKey val="0"/>
          <c:showVal val="0"/>
          <c:showCatName val="0"/>
          <c:showSerName val="0"/>
          <c:showPercent val="0"/>
          <c:showBubbleSize val="0"/>
        </c:dLbls>
        <c:gapWidth val="95"/>
        <c:overlap val="100"/>
        <c:axId val="60323712"/>
        <c:axId val="60489728"/>
      </c:barChart>
      <c:catAx>
        <c:axId val="60323712"/>
        <c:scaling>
          <c:orientation val="minMax"/>
        </c:scaling>
        <c:delete val="0"/>
        <c:axPos val="b"/>
        <c:title>
          <c:tx>
            <c:rich>
              <a:bodyPr/>
              <a:lstStyle/>
              <a:p>
                <a:pPr>
                  <a:defRPr/>
                </a:pPr>
                <a:r>
                  <a:rPr lang="en-GB"/>
                  <a:t>Route to Diagnosis</a:t>
                </a:r>
              </a:p>
            </c:rich>
          </c:tx>
          <c:layout/>
          <c:overlay val="0"/>
        </c:title>
        <c:numFmt formatCode="General" sourceLinked="1"/>
        <c:majorTickMark val="out"/>
        <c:minorTickMark val="none"/>
        <c:tickLblPos val="nextTo"/>
        <c:txPr>
          <a:bodyPr rot="0" vert="horz"/>
          <a:lstStyle/>
          <a:p>
            <a:pPr>
              <a:defRPr/>
            </a:pPr>
            <a:endParaRPr lang="en-US"/>
          </a:p>
        </c:txPr>
        <c:crossAx val="60489728"/>
        <c:crosses val="autoZero"/>
        <c:auto val="1"/>
        <c:lblAlgn val="ctr"/>
        <c:lblOffset val="100"/>
        <c:noMultiLvlLbl val="0"/>
      </c:catAx>
      <c:valAx>
        <c:axId val="60489728"/>
        <c:scaling>
          <c:orientation val="minMax"/>
          <c:max val="1"/>
        </c:scaling>
        <c:delete val="0"/>
        <c:axPos val="l"/>
        <c:majorGridlines>
          <c:spPr>
            <a:ln>
              <a:solidFill>
                <a:schemeClr val="bg1"/>
              </a:solidFill>
            </a:ln>
          </c:spPr>
        </c:majorGridlines>
        <c:title>
          <c:tx>
            <c:rich>
              <a:bodyPr rot="-5400000" vert="horz"/>
              <a:lstStyle/>
              <a:p>
                <a:pPr>
                  <a:defRPr/>
                </a:pPr>
                <a:r>
                  <a:rPr lang="en-GB"/>
                  <a:t>Percentage by treatment modality</a:t>
                </a:r>
              </a:p>
            </c:rich>
          </c:tx>
          <c:layout>
            <c:manualLayout>
              <c:xMode val="edge"/>
              <c:yMode val="edge"/>
              <c:x val="8.6509867531765344E-3"/>
              <c:y val="0.2487182056788356"/>
            </c:manualLayout>
          </c:layout>
          <c:overlay val="0"/>
        </c:title>
        <c:numFmt formatCode="0%" sourceLinked="1"/>
        <c:majorTickMark val="out"/>
        <c:minorTickMark val="none"/>
        <c:tickLblPos val="nextTo"/>
        <c:crossAx val="60323712"/>
        <c:crosses val="autoZero"/>
        <c:crossBetween val="between"/>
      </c:valAx>
      <c:spPr>
        <a:solidFill>
          <a:schemeClr val="bg1">
            <a:lumMod val="85000"/>
          </a:schemeClr>
        </a:solidFill>
      </c:spPr>
    </c:plotArea>
    <c:legend>
      <c:legendPos val="r"/>
      <c:layout>
        <c:manualLayout>
          <c:xMode val="edge"/>
          <c:yMode val="edge"/>
          <c:x val="0.70804228107850142"/>
          <c:y val="0.16988488870335447"/>
          <c:w val="0.19256377952755904"/>
          <c:h val="0.63477023324552428"/>
        </c:manualLayout>
      </c:layout>
      <c:overlay val="0"/>
    </c:legend>
    <c:plotVisOnly val="1"/>
    <c:dispBlanksAs val="gap"/>
    <c:showDLblsOverMax val="0"/>
  </c:chart>
  <c:spPr>
    <a:solidFill>
      <a:srgbClr val="CCE3F1"/>
    </a:solidFill>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Lookups!$H$10</c:f>
          <c:strCache>
            <c:ptCount val="1"/>
            <c:pt idx="0">
              <c:v>Treatment type by Route and age, 2013-2015, Breast, England</c:v>
            </c:pt>
          </c:strCache>
        </c:strRef>
      </c:tx>
      <c:layout>
        <c:manualLayout>
          <c:xMode val="edge"/>
          <c:yMode val="edge"/>
          <c:x val="0.16150830914288342"/>
          <c:y val="1.2187745497330075E-2"/>
        </c:manualLayout>
      </c:layout>
      <c:overlay val="0"/>
      <c:txPr>
        <a:bodyPr/>
        <a:lstStyle/>
        <a:p>
          <a:pPr>
            <a:defRPr/>
          </a:pPr>
          <a:endParaRPr lang="en-US"/>
        </a:p>
      </c:txPr>
    </c:title>
    <c:autoTitleDeleted val="0"/>
    <c:plotArea>
      <c:layout>
        <c:manualLayout>
          <c:layoutTarget val="inner"/>
          <c:xMode val="edge"/>
          <c:yMode val="edge"/>
          <c:x val="8.341732283464566E-2"/>
          <c:y val="6.221151014659753E-2"/>
          <c:w val="0.62007835838701986"/>
          <c:h val="0.62151774506447566"/>
        </c:manualLayout>
      </c:layout>
      <c:barChart>
        <c:barDir val="col"/>
        <c:grouping val="stacked"/>
        <c:varyColors val="0"/>
        <c:ser>
          <c:idx val="0"/>
          <c:order val="0"/>
          <c:tx>
            <c:strRef>
              <c:f>Age!$AC$6</c:f>
              <c:strCache>
                <c:ptCount val="1"/>
                <c:pt idx="0">
                  <c:v>Tumour resection only</c:v>
                </c:pt>
              </c:strCache>
            </c:strRef>
          </c:tx>
          <c:spPr>
            <a:solidFill>
              <a:srgbClr val="00B092"/>
            </a:solidFill>
          </c:spPr>
          <c:invertIfNegative val="0"/>
          <c:cat>
            <c:multiLvlStrRef>
              <c:f>Age!$AA$7:$AB$53</c:f>
              <c:multiLvlStrCache>
                <c:ptCount val="47"/>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pt idx="24">
                    <c:v>Screen detected</c:v>
                  </c:pt>
                  <c:pt idx="25">
                    <c:v>Two Week Wait</c:v>
                  </c:pt>
                  <c:pt idx="26">
                    <c:v>GP referral</c:v>
                  </c:pt>
                  <c:pt idx="27">
                    <c:v>IP &amp; OP</c:v>
                  </c:pt>
                  <c:pt idx="28">
                    <c:v>Emergency presentation</c:v>
                  </c:pt>
                  <c:pt idx="29">
                    <c:v>Unknown</c:v>
                  </c:pt>
                  <c:pt idx="30">
                    <c:v>All Routes</c:v>
                  </c:pt>
                  <c:pt idx="32">
                    <c:v>Screen detected</c:v>
                  </c:pt>
                  <c:pt idx="33">
                    <c:v>Two Week Wait</c:v>
                  </c:pt>
                  <c:pt idx="34">
                    <c:v>GP referral</c:v>
                  </c:pt>
                  <c:pt idx="35">
                    <c:v>IP &amp; OP</c:v>
                  </c:pt>
                  <c:pt idx="36">
                    <c:v>Emergency presentation</c:v>
                  </c:pt>
                  <c:pt idx="37">
                    <c:v>Unknown</c:v>
                  </c:pt>
                  <c:pt idx="38">
                    <c:v>All Routes</c:v>
                  </c:pt>
                  <c:pt idx="40">
                    <c:v>Screen detected</c:v>
                  </c:pt>
                  <c:pt idx="41">
                    <c:v>Two Week Wait</c:v>
                  </c:pt>
                  <c:pt idx="42">
                    <c:v>GP referral</c:v>
                  </c:pt>
                  <c:pt idx="43">
                    <c:v>IP &amp; OP</c:v>
                  </c:pt>
                  <c:pt idx="44">
                    <c:v>Emergency presentation</c:v>
                  </c:pt>
                  <c:pt idx="45">
                    <c:v>Unknown</c:v>
                  </c:pt>
                  <c:pt idx="46">
                    <c:v>All Routes</c:v>
                  </c:pt>
                </c:lvl>
                <c:lvl>
                  <c:pt idx="0">
                    <c:v>Under 50</c:v>
                  </c:pt>
                  <c:pt idx="8">
                    <c:v>50-59</c:v>
                  </c:pt>
                  <c:pt idx="16">
                    <c:v>60-69</c:v>
                  </c:pt>
                  <c:pt idx="24">
                    <c:v>70-79</c:v>
                  </c:pt>
                  <c:pt idx="32">
                    <c:v>80-84</c:v>
                  </c:pt>
                  <c:pt idx="40">
                    <c:v>85+</c:v>
                  </c:pt>
                </c:lvl>
              </c:multiLvlStrCache>
            </c:multiLvlStrRef>
          </c:cat>
          <c:val>
            <c:numRef>
              <c:f>Age!$AC$7:$AC$53</c:f>
              <c:numCache>
                <c:formatCode>0%</c:formatCode>
                <c:ptCount val="47"/>
                <c:pt idx="0">
                  <c:v>0.13500000000000001</c:v>
                </c:pt>
                <c:pt idx="1">
                  <c:v>7.5244208763605921E-2</c:v>
                </c:pt>
                <c:pt idx="2">
                  <c:v>0.18424036281179137</c:v>
                </c:pt>
                <c:pt idx="3">
                  <c:v>0.23097463284379172</c:v>
                </c:pt>
                <c:pt idx="4">
                  <c:v>8.7591240875912413E-2</c:v>
                </c:pt>
                <c:pt idx="5">
                  <c:v>0.28722538649308382</c:v>
                </c:pt>
                <c:pt idx="6">
                  <c:v>0.10974953902888752</c:v>
                </c:pt>
                <c:pt idx="8">
                  <c:v>0.12891274761832755</c:v>
                </c:pt>
                <c:pt idx="9">
                  <c:v>8.8888888888888892E-2</c:v>
                </c:pt>
                <c:pt idx="10">
                  <c:v>0.20932317346481399</c:v>
                </c:pt>
                <c:pt idx="11">
                  <c:v>0.2382716049382716</c:v>
                </c:pt>
                <c:pt idx="12">
                  <c:v>6.765327695560254E-2</c:v>
                </c:pt>
                <c:pt idx="13">
                  <c:v>0.24276169265033407</c:v>
                </c:pt>
                <c:pt idx="14">
                  <c:v>0.12676438653637351</c:v>
                </c:pt>
                <c:pt idx="16">
                  <c:v>0.13795927280668233</c:v>
                </c:pt>
                <c:pt idx="17">
                  <c:v>0.1427211355374762</c:v>
                </c:pt>
                <c:pt idx="18">
                  <c:v>0.22041763341067286</c:v>
                </c:pt>
                <c:pt idx="19">
                  <c:v>0.22995283018867924</c:v>
                </c:pt>
                <c:pt idx="20">
                  <c:v>0.10318664643399089</c:v>
                </c:pt>
                <c:pt idx="21">
                  <c:v>0.25054784514243972</c:v>
                </c:pt>
                <c:pt idx="22">
                  <c:v>0.15062174087444846</c:v>
                </c:pt>
                <c:pt idx="24">
                  <c:v>0.19570617459190914</c:v>
                </c:pt>
                <c:pt idx="25">
                  <c:v>0.2297609345286607</c:v>
                </c:pt>
                <c:pt idx="26">
                  <c:v>0.26205936920222633</c:v>
                </c:pt>
                <c:pt idx="27">
                  <c:v>0.25786163522012578</c:v>
                </c:pt>
                <c:pt idx="28">
                  <c:v>9.7035040431266845E-2</c:v>
                </c:pt>
                <c:pt idx="29">
                  <c:v>0.29339477726574503</c:v>
                </c:pt>
                <c:pt idx="30">
                  <c:v>0.22130358002889711</c:v>
                </c:pt>
                <c:pt idx="32">
                  <c:v>0.28117913832199548</c:v>
                </c:pt>
                <c:pt idx="33">
                  <c:v>0.26529246419488689</c:v>
                </c:pt>
                <c:pt idx="34">
                  <c:v>0.24878993223620524</c:v>
                </c:pt>
                <c:pt idx="35">
                  <c:v>0.23664122137404581</c:v>
                </c:pt>
                <c:pt idx="36">
                  <c:v>8.1827842720510094E-2</c:v>
                </c:pt>
                <c:pt idx="37">
                  <c:v>0.2608695652173913</c:v>
                </c:pt>
                <c:pt idx="38">
                  <c:v>0.24677466291589872</c:v>
                </c:pt>
                <c:pt idx="40">
                  <c:v>0.33333333333333331</c:v>
                </c:pt>
                <c:pt idx="41">
                  <c:v>0.18667813690549342</c:v>
                </c:pt>
                <c:pt idx="42">
                  <c:v>0.15183673469387754</c:v>
                </c:pt>
                <c:pt idx="43">
                  <c:v>0.14930555555555555</c:v>
                </c:pt>
                <c:pt idx="44">
                  <c:v>3.6756126021003498E-2</c:v>
                </c:pt>
                <c:pt idx="45">
                  <c:v>0.10460251046025104</c:v>
                </c:pt>
                <c:pt idx="46">
                  <c:v>0.15949345426542311</c:v>
                </c:pt>
              </c:numCache>
            </c:numRef>
          </c:val>
        </c:ser>
        <c:ser>
          <c:idx val="1"/>
          <c:order val="1"/>
          <c:tx>
            <c:strRef>
              <c:f>Age!$AF$6</c:f>
              <c:strCache>
                <c:ptCount val="1"/>
                <c:pt idx="0">
                  <c:v>Tumour resection
 and Chemotherapy</c:v>
                </c:pt>
              </c:strCache>
            </c:strRef>
          </c:tx>
          <c:spPr>
            <a:solidFill>
              <a:srgbClr val="007E39"/>
            </a:solidFill>
          </c:spPr>
          <c:invertIfNegative val="0"/>
          <c:cat>
            <c:multiLvlStrRef>
              <c:f>Age!$AA$7:$AB$53</c:f>
              <c:multiLvlStrCache>
                <c:ptCount val="47"/>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pt idx="24">
                    <c:v>Screen detected</c:v>
                  </c:pt>
                  <c:pt idx="25">
                    <c:v>Two Week Wait</c:v>
                  </c:pt>
                  <c:pt idx="26">
                    <c:v>GP referral</c:v>
                  </c:pt>
                  <c:pt idx="27">
                    <c:v>IP &amp; OP</c:v>
                  </c:pt>
                  <c:pt idx="28">
                    <c:v>Emergency presentation</c:v>
                  </c:pt>
                  <c:pt idx="29">
                    <c:v>Unknown</c:v>
                  </c:pt>
                  <c:pt idx="30">
                    <c:v>All Routes</c:v>
                  </c:pt>
                  <c:pt idx="32">
                    <c:v>Screen detected</c:v>
                  </c:pt>
                  <c:pt idx="33">
                    <c:v>Two Week Wait</c:v>
                  </c:pt>
                  <c:pt idx="34">
                    <c:v>GP referral</c:v>
                  </c:pt>
                  <c:pt idx="35">
                    <c:v>IP &amp; OP</c:v>
                  </c:pt>
                  <c:pt idx="36">
                    <c:v>Emergency presentation</c:v>
                  </c:pt>
                  <c:pt idx="37">
                    <c:v>Unknown</c:v>
                  </c:pt>
                  <c:pt idx="38">
                    <c:v>All Routes</c:v>
                  </c:pt>
                  <c:pt idx="40">
                    <c:v>Screen detected</c:v>
                  </c:pt>
                  <c:pt idx="41">
                    <c:v>Two Week Wait</c:v>
                  </c:pt>
                  <c:pt idx="42">
                    <c:v>GP referral</c:v>
                  </c:pt>
                  <c:pt idx="43">
                    <c:v>IP &amp; OP</c:v>
                  </c:pt>
                  <c:pt idx="44">
                    <c:v>Emergency presentation</c:v>
                  </c:pt>
                  <c:pt idx="45">
                    <c:v>Unknown</c:v>
                  </c:pt>
                  <c:pt idx="46">
                    <c:v>All Routes</c:v>
                  </c:pt>
                </c:lvl>
                <c:lvl>
                  <c:pt idx="0">
                    <c:v>Under 50</c:v>
                  </c:pt>
                  <c:pt idx="8">
                    <c:v>50-59</c:v>
                  </c:pt>
                  <c:pt idx="16">
                    <c:v>60-69</c:v>
                  </c:pt>
                  <c:pt idx="24">
                    <c:v>70-79</c:v>
                  </c:pt>
                  <c:pt idx="32">
                    <c:v>80-84</c:v>
                  </c:pt>
                  <c:pt idx="40">
                    <c:v>85+</c:v>
                  </c:pt>
                </c:lvl>
              </c:multiLvlStrCache>
            </c:multiLvlStrRef>
          </c:cat>
          <c:val>
            <c:numRef>
              <c:f>Age!$AF$7:$AF$53</c:f>
              <c:numCache>
                <c:formatCode>0%</c:formatCode>
                <c:ptCount val="47"/>
                <c:pt idx="0">
                  <c:v>7.6818181818181813E-2</c:v>
                </c:pt>
                <c:pt idx="1">
                  <c:v>0.12598381244766954</c:v>
                </c:pt>
                <c:pt idx="2">
                  <c:v>0.10799319727891156</c:v>
                </c:pt>
                <c:pt idx="3">
                  <c:v>0.13084112149532709</c:v>
                </c:pt>
                <c:pt idx="4">
                  <c:v>6.0827250608272508E-2</c:v>
                </c:pt>
                <c:pt idx="5">
                  <c:v>7.7298616761594788E-2</c:v>
                </c:pt>
                <c:pt idx="6">
                  <c:v>0.11620313460356484</c:v>
                </c:pt>
                <c:pt idx="8">
                  <c:v>4.7709057916225615E-2</c:v>
                </c:pt>
                <c:pt idx="9">
                  <c:v>9.9868247694334653E-2</c:v>
                </c:pt>
                <c:pt idx="10">
                  <c:v>8.9645898700134466E-2</c:v>
                </c:pt>
                <c:pt idx="11">
                  <c:v>0.11851851851851852</c:v>
                </c:pt>
                <c:pt idx="12">
                  <c:v>5.2854122621564484E-2</c:v>
                </c:pt>
                <c:pt idx="13">
                  <c:v>7.9435783221974754E-2</c:v>
                </c:pt>
                <c:pt idx="14">
                  <c:v>7.4511400651465803E-2</c:v>
                </c:pt>
                <c:pt idx="16">
                  <c:v>3.4012119888628053E-2</c:v>
                </c:pt>
                <c:pt idx="17">
                  <c:v>8.2309157001904096E-2</c:v>
                </c:pt>
                <c:pt idx="18">
                  <c:v>8.7238979118329466E-2</c:v>
                </c:pt>
                <c:pt idx="19">
                  <c:v>7.1933962264150941E-2</c:v>
                </c:pt>
                <c:pt idx="20">
                  <c:v>2.4279210925644917E-2</c:v>
                </c:pt>
                <c:pt idx="21">
                  <c:v>5.7706355003652302E-2</c:v>
                </c:pt>
                <c:pt idx="22">
                  <c:v>5.4953870838347373E-2</c:v>
                </c:pt>
                <c:pt idx="24">
                  <c:v>2.0759403832505324E-2</c:v>
                </c:pt>
                <c:pt idx="25">
                  <c:v>4.1768541157294212E-2</c:v>
                </c:pt>
                <c:pt idx="26">
                  <c:v>3.1076066790352505E-2</c:v>
                </c:pt>
                <c:pt idx="27">
                  <c:v>2.9874213836477988E-2</c:v>
                </c:pt>
                <c:pt idx="28">
                  <c:v>9.883198562443846E-3</c:v>
                </c:pt>
                <c:pt idx="29">
                  <c:v>2.4577572964669739E-2</c:v>
                </c:pt>
                <c:pt idx="30">
                  <c:v>3.3913950874939799E-2</c:v>
                </c:pt>
                <c:pt idx="32">
                  <c:v>1.1337868480725623E-2</c:v>
                </c:pt>
                <c:pt idx="33">
                  <c:v>8.70030785704725E-3</c:v>
                </c:pt>
                <c:pt idx="34">
                  <c:v>8.7124878993223628E-3</c:v>
                </c:pt>
                <c:pt idx="35">
                  <c:v>1.9083969465648856E-2</c:v>
                </c:pt>
                <c:pt idx="36">
                  <c:v>4.2507970244420826E-3</c:v>
                </c:pt>
                <c:pt idx="37">
                  <c:v>0</c:v>
                </c:pt>
                <c:pt idx="38">
                  <c:v>8.5362304782229115E-3</c:v>
                </c:pt>
                <c:pt idx="40">
                  <c:v>1.1904761904761904E-2</c:v>
                </c:pt>
                <c:pt idx="41">
                  <c:v>1.7205358240137644E-3</c:v>
                </c:pt>
                <c:pt idx="42">
                  <c:v>2.4489795918367346E-3</c:v>
                </c:pt>
                <c:pt idx="43">
                  <c:v>3.472222222222222E-3</c:v>
                </c:pt>
                <c:pt idx="44">
                  <c:v>1.750291715285881E-3</c:v>
                </c:pt>
                <c:pt idx="45">
                  <c:v>0</c:v>
                </c:pt>
                <c:pt idx="46">
                  <c:v>1.8824334730897579E-3</c:v>
                </c:pt>
              </c:numCache>
            </c:numRef>
          </c:val>
        </c:ser>
        <c:ser>
          <c:idx val="2"/>
          <c:order val="2"/>
          <c:tx>
            <c:strRef>
              <c:f>Age!$AG$6</c:f>
              <c:strCache>
                <c:ptCount val="1"/>
                <c:pt idx="0">
                  <c:v>Tumour resection
 and Radiotherapy</c:v>
                </c:pt>
              </c:strCache>
            </c:strRef>
          </c:tx>
          <c:spPr>
            <a:solidFill>
              <a:srgbClr val="80D2A8"/>
            </a:solidFill>
          </c:spPr>
          <c:invertIfNegative val="0"/>
          <c:cat>
            <c:multiLvlStrRef>
              <c:f>Age!$AA$7:$AB$53</c:f>
              <c:multiLvlStrCache>
                <c:ptCount val="47"/>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pt idx="24">
                    <c:v>Screen detected</c:v>
                  </c:pt>
                  <c:pt idx="25">
                    <c:v>Two Week Wait</c:v>
                  </c:pt>
                  <c:pt idx="26">
                    <c:v>GP referral</c:v>
                  </c:pt>
                  <c:pt idx="27">
                    <c:v>IP &amp; OP</c:v>
                  </c:pt>
                  <c:pt idx="28">
                    <c:v>Emergency presentation</c:v>
                  </c:pt>
                  <c:pt idx="29">
                    <c:v>Unknown</c:v>
                  </c:pt>
                  <c:pt idx="30">
                    <c:v>All Routes</c:v>
                  </c:pt>
                  <c:pt idx="32">
                    <c:v>Screen detected</c:v>
                  </c:pt>
                  <c:pt idx="33">
                    <c:v>Two Week Wait</c:v>
                  </c:pt>
                  <c:pt idx="34">
                    <c:v>GP referral</c:v>
                  </c:pt>
                  <c:pt idx="35">
                    <c:v>IP &amp; OP</c:v>
                  </c:pt>
                  <c:pt idx="36">
                    <c:v>Emergency presentation</c:v>
                  </c:pt>
                  <c:pt idx="37">
                    <c:v>Unknown</c:v>
                  </c:pt>
                  <c:pt idx="38">
                    <c:v>All Routes</c:v>
                  </c:pt>
                  <c:pt idx="40">
                    <c:v>Screen detected</c:v>
                  </c:pt>
                  <c:pt idx="41">
                    <c:v>Two Week Wait</c:v>
                  </c:pt>
                  <c:pt idx="42">
                    <c:v>GP referral</c:v>
                  </c:pt>
                  <c:pt idx="43">
                    <c:v>IP &amp; OP</c:v>
                  </c:pt>
                  <c:pt idx="44">
                    <c:v>Emergency presentation</c:v>
                  </c:pt>
                  <c:pt idx="45">
                    <c:v>Unknown</c:v>
                  </c:pt>
                  <c:pt idx="46">
                    <c:v>All Routes</c:v>
                  </c:pt>
                </c:lvl>
                <c:lvl>
                  <c:pt idx="0">
                    <c:v>Under 50</c:v>
                  </c:pt>
                  <c:pt idx="8">
                    <c:v>50-59</c:v>
                  </c:pt>
                  <c:pt idx="16">
                    <c:v>60-69</c:v>
                  </c:pt>
                  <c:pt idx="24">
                    <c:v>70-79</c:v>
                  </c:pt>
                  <c:pt idx="32">
                    <c:v>80-84</c:v>
                  </c:pt>
                  <c:pt idx="40">
                    <c:v>85+</c:v>
                  </c:pt>
                </c:lvl>
              </c:multiLvlStrCache>
            </c:multiLvlStrRef>
          </c:cat>
          <c:val>
            <c:numRef>
              <c:f>Age!$AG$7:$AG$53</c:f>
              <c:numCache>
                <c:formatCode>0%</c:formatCode>
                <c:ptCount val="47"/>
                <c:pt idx="0">
                  <c:v>0.45954545454545453</c:v>
                </c:pt>
                <c:pt idx="1">
                  <c:v>0.15394920457716996</c:v>
                </c:pt>
                <c:pt idx="2">
                  <c:v>0.15731292517006804</c:v>
                </c:pt>
                <c:pt idx="3">
                  <c:v>0.19092122830440589</c:v>
                </c:pt>
                <c:pt idx="4">
                  <c:v>6.3260340632603412E-2</c:v>
                </c:pt>
                <c:pt idx="5">
                  <c:v>0.17249796582587471</c:v>
                </c:pt>
                <c:pt idx="6">
                  <c:v>0.18073909035033806</c:v>
                </c:pt>
                <c:pt idx="8">
                  <c:v>0.52653863601996065</c:v>
                </c:pt>
                <c:pt idx="9">
                  <c:v>0.22880983750548967</c:v>
                </c:pt>
                <c:pt idx="10">
                  <c:v>0.21604661586732407</c:v>
                </c:pt>
                <c:pt idx="11">
                  <c:v>0.26296296296296295</c:v>
                </c:pt>
                <c:pt idx="12">
                  <c:v>0.10359408033826638</c:v>
                </c:pt>
                <c:pt idx="13">
                  <c:v>0.25612472160356348</c:v>
                </c:pt>
                <c:pt idx="14">
                  <c:v>0.36163137893593922</c:v>
                </c:pt>
                <c:pt idx="16">
                  <c:v>0.62346454113664906</c:v>
                </c:pt>
                <c:pt idx="17">
                  <c:v>0.31746581270555652</c:v>
                </c:pt>
                <c:pt idx="18">
                  <c:v>0.27470997679814385</c:v>
                </c:pt>
                <c:pt idx="19">
                  <c:v>0.32665094339622641</c:v>
                </c:pt>
                <c:pt idx="20">
                  <c:v>9.7116843702579669E-2</c:v>
                </c:pt>
                <c:pt idx="21">
                  <c:v>0.34477720964207453</c:v>
                </c:pt>
                <c:pt idx="22">
                  <c:v>0.4725517162340267</c:v>
                </c:pt>
                <c:pt idx="24">
                  <c:v>0.65134847409510288</c:v>
                </c:pt>
                <c:pt idx="25">
                  <c:v>0.42250747079597933</c:v>
                </c:pt>
                <c:pt idx="26">
                  <c:v>0.2857142857142857</c:v>
                </c:pt>
                <c:pt idx="27">
                  <c:v>0.3191823899371069</c:v>
                </c:pt>
                <c:pt idx="28">
                  <c:v>8.5354896675651395E-2</c:v>
                </c:pt>
                <c:pt idx="29">
                  <c:v>0.30568356374807987</c:v>
                </c:pt>
                <c:pt idx="30">
                  <c:v>0.44168405843634612</c:v>
                </c:pt>
                <c:pt idx="32">
                  <c:v>0.60317460317460314</c:v>
                </c:pt>
                <c:pt idx="33">
                  <c:v>0.33690269040289117</c:v>
                </c:pt>
                <c:pt idx="34">
                  <c:v>0.17424975798644723</c:v>
                </c:pt>
                <c:pt idx="35">
                  <c:v>0.19083969465648856</c:v>
                </c:pt>
                <c:pt idx="36">
                  <c:v>5.526036131774708E-2</c:v>
                </c:pt>
                <c:pt idx="37">
                  <c:v>0.17391304347826086</c:v>
                </c:pt>
                <c:pt idx="38">
                  <c:v>0.3000291007857212</c:v>
                </c:pt>
                <c:pt idx="40">
                  <c:v>0.30952380952380953</c:v>
                </c:pt>
                <c:pt idx="41">
                  <c:v>0.12437016099299496</c:v>
                </c:pt>
                <c:pt idx="42">
                  <c:v>7.0204081632653056E-2</c:v>
                </c:pt>
                <c:pt idx="43">
                  <c:v>4.8611111111111112E-2</c:v>
                </c:pt>
                <c:pt idx="44">
                  <c:v>1.8086347724620769E-2</c:v>
                </c:pt>
                <c:pt idx="45">
                  <c:v>3.3472803347280332E-2</c:v>
                </c:pt>
                <c:pt idx="46">
                  <c:v>0.10071019081030204</c:v>
                </c:pt>
              </c:numCache>
            </c:numRef>
          </c:val>
        </c:ser>
        <c:ser>
          <c:idx val="4"/>
          <c:order val="3"/>
          <c:tx>
            <c:strRef>
              <c:f>Age!$AE$6</c:f>
              <c:strCache>
                <c:ptCount val="1"/>
                <c:pt idx="0">
                  <c:v>Radiotherapy only</c:v>
                </c:pt>
              </c:strCache>
            </c:strRef>
          </c:tx>
          <c:spPr>
            <a:solidFill>
              <a:srgbClr val="00549F"/>
            </a:solidFill>
          </c:spPr>
          <c:invertIfNegative val="0"/>
          <c:cat>
            <c:multiLvlStrRef>
              <c:f>Age!$AA$7:$AB$53</c:f>
              <c:multiLvlStrCache>
                <c:ptCount val="47"/>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pt idx="24">
                    <c:v>Screen detected</c:v>
                  </c:pt>
                  <c:pt idx="25">
                    <c:v>Two Week Wait</c:v>
                  </c:pt>
                  <c:pt idx="26">
                    <c:v>GP referral</c:v>
                  </c:pt>
                  <c:pt idx="27">
                    <c:v>IP &amp; OP</c:v>
                  </c:pt>
                  <c:pt idx="28">
                    <c:v>Emergency presentation</c:v>
                  </c:pt>
                  <c:pt idx="29">
                    <c:v>Unknown</c:v>
                  </c:pt>
                  <c:pt idx="30">
                    <c:v>All Routes</c:v>
                  </c:pt>
                  <c:pt idx="32">
                    <c:v>Screen detected</c:v>
                  </c:pt>
                  <c:pt idx="33">
                    <c:v>Two Week Wait</c:v>
                  </c:pt>
                  <c:pt idx="34">
                    <c:v>GP referral</c:v>
                  </c:pt>
                  <c:pt idx="35">
                    <c:v>IP &amp; OP</c:v>
                  </c:pt>
                  <c:pt idx="36">
                    <c:v>Emergency presentation</c:v>
                  </c:pt>
                  <c:pt idx="37">
                    <c:v>Unknown</c:v>
                  </c:pt>
                  <c:pt idx="38">
                    <c:v>All Routes</c:v>
                  </c:pt>
                  <c:pt idx="40">
                    <c:v>Screen detected</c:v>
                  </c:pt>
                  <c:pt idx="41">
                    <c:v>Two Week Wait</c:v>
                  </c:pt>
                  <c:pt idx="42">
                    <c:v>GP referral</c:v>
                  </c:pt>
                  <c:pt idx="43">
                    <c:v>IP &amp; OP</c:v>
                  </c:pt>
                  <c:pt idx="44">
                    <c:v>Emergency presentation</c:v>
                  </c:pt>
                  <c:pt idx="45">
                    <c:v>Unknown</c:v>
                  </c:pt>
                  <c:pt idx="46">
                    <c:v>All Routes</c:v>
                  </c:pt>
                </c:lvl>
                <c:lvl>
                  <c:pt idx="0">
                    <c:v>Under 50</c:v>
                  </c:pt>
                  <c:pt idx="8">
                    <c:v>50-59</c:v>
                  </c:pt>
                  <c:pt idx="16">
                    <c:v>60-69</c:v>
                  </c:pt>
                  <c:pt idx="24">
                    <c:v>70-79</c:v>
                  </c:pt>
                  <c:pt idx="32">
                    <c:v>80-84</c:v>
                  </c:pt>
                  <c:pt idx="40">
                    <c:v>85+</c:v>
                  </c:pt>
                </c:lvl>
              </c:multiLvlStrCache>
            </c:multiLvlStrRef>
          </c:cat>
          <c:val>
            <c:numRef>
              <c:f>Age!$AE$7:$AE$53</c:f>
              <c:numCache>
                <c:formatCode>0%</c:formatCode>
                <c:ptCount val="47"/>
                <c:pt idx="0">
                  <c:v>9.5454545454545462E-3</c:v>
                </c:pt>
                <c:pt idx="1">
                  <c:v>3.1816913201228019E-3</c:v>
                </c:pt>
                <c:pt idx="2">
                  <c:v>4.5634920634920632E-2</c:v>
                </c:pt>
                <c:pt idx="3">
                  <c:v>2.9372496662216287E-2</c:v>
                </c:pt>
                <c:pt idx="4">
                  <c:v>5.5961070559610707E-2</c:v>
                </c:pt>
                <c:pt idx="5">
                  <c:v>6.9975589910496336E-2</c:v>
                </c:pt>
                <c:pt idx="6">
                  <c:v>1.4213275968039335E-2</c:v>
                </c:pt>
                <c:pt idx="8">
                  <c:v>1.2021775291093301E-2</c:v>
                </c:pt>
                <c:pt idx="9">
                  <c:v>5.3579270970575315E-3</c:v>
                </c:pt>
                <c:pt idx="10">
                  <c:v>4.5719408337068577E-2</c:v>
                </c:pt>
                <c:pt idx="11">
                  <c:v>1.9753086419753086E-2</c:v>
                </c:pt>
                <c:pt idx="12">
                  <c:v>8.0338266384778007E-2</c:v>
                </c:pt>
                <c:pt idx="13">
                  <c:v>4.4543429844097995E-2</c:v>
                </c:pt>
                <c:pt idx="14">
                  <c:v>1.4793702497285559E-2</c:v>
                </c:pt>
                <c:pt idx="16">
                  <c:v>8.0799257520336298E-3</c:v>
                </c:pt>
                <c:pt idx="17">
                  <c:v>7.5298597888177254E-3</c:v>
                </c:pt>
                <c:pt idx="18">
                  <c:v>4.3619489559164733E-2</c:v>
                </c:pt>
                <c:pt idx="19">
                  <c:v>3.1839622641509434E-2</c:v>
                </c:pt>
                <c:pt idx="20">
                  <c:v>0.13353566009104703</c:v>
                </c:pt>
                <c:pt idx="21">
                  <c:v>4.3097151205259317E-2</c:v>
                </c:pt>
                <c:pt idx="22">
                  <c:v>1.4411781559796E-2</c:v>
                </c:pt>
                <c:pt idx="24">
                  <c:v>7.9843860894251249E-3</c:v>
                </c:pt>
                <c:pt idx="25">
                  <c:v>1.5281173594132029E-2</c:v>
                </c:pt>
                <c:pt idx="26">
                  <c:v>5.9369202226345084E-2</c:v>
                </c:pt>
                <c:pt idx="27">
                  <c:v>5.5031446540880505E-2</c:v>
                </c:pt>
                <c:pt idx="28">
                  <c:v>0.11949685534591195</c:v>
                </c:pt>
                <c:pt idx="29">
                  <c:v>6.6052227342549924E-2</c:v>
                </c:pt>
                <c:pt idx="30">
                  <c:v>2.4442125541820518E-2</c:v>
                </c:pt>
                <c:pt idx="32">
                  <c:v>9.0702947845804991E-3</c:v>
                </c:pt>
                <c:pt idx="33">
                  <c:v>1.9542229955829205E-2</c:v>
                </c:pt>
                <c:pt idx="34">
                  <c:v>7.2604065827686345E-2</c:v>
                </c:pt>
                <c:pt idx="35">
                  <c:v>4.1984732824427481E-2</c:v>
                </c:pt>
                <c:pt idx="36">
                  <c:v>7.7577045696068006E-2</c:v>
                </c:pt>
                <c:pt idx="37">
                  <c:v>4.9689440993788817E-2</c:v>
                </c:pt>
                <c:pt idx="38">
                  <c:v>3.0749830245416627E-2</c:v>
                </c:pt>
                <c:pt idx="40">
                  <c:v>0</c:v>
                </c:pt>
                <c:pt idx="41">
                  <c:v>2.4210396952193684E-2</c:v>
                </c:pt>
                <c:pt idx="42">
                  <c:v>4.7346938775510203E-2</c:v>
                </c:pt>
                <c:pt idx="43">
                  <c:v>4.8611111111111112E-2</c:v>
                </c:pt>
                <c:pt idx="44">
                  <c:v>4.7841306884480746E-2</c:v>
                </c:pt>
                <c:pt idx="45">
                  <c:v>2.5104602510460251E-2</c:v>
                </c:pt>
                <c:pt idx="46">
                  <c:v>3.0546761358774707E-2</c:v>
                </c:pt>
              </c:numCache>
            </c:numRef>
          </c:val>
        </c:ser>
        <c:ser>
          <c:idx val="3"/>
          <c:order val="4"/>
          <c:tx>
            <c:strRef>
              <c:f>Age!$AD$6</c:f>
              <c:strCache>
                <c:ptCount val="1"/>
                <c:pt idx="0">
                  <c:v>Chemotherapy only</c:v>
                </c:pt>
              </c:strCache>
            </c:strRef>
          </c:tx>
          <c:spPr>
            <a:solidFill>
              <a:srgbClr val="E9994A"/>
            </a:solidFill>
          </c:spPr>
          <c:invertIfNegative val="0"/>
          <c:cat>
            <c:multiLvlStrRef>
              <c:f>Age!$AA$7:$AB$53</c:f>
              <c:multiLvlStrCache>
                <c:ptCount val="47"/>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pt idx="24">
                    <c:v>Screen detected</c:v>
                  </c:pt>
                  <c:pt idx="25">
                    <c:v>Two Week Wait</c:v>
                  </c:pt>
                  <c:pt idx="26">
                    <c:v>GP referral</c:v>
                  </c:pt>
                  <c:pt idx="27">
                    <c:v>IP &amp; OP</c:v>
                  </c:pt>
                  <c:pt idx="28">
                    <c:v>Emergency presentation</c:v>
                  </c:pt>
                  <c:pt idx="29">
                    <c:v>Unknown</c:v>
                  </c:pt>
                  <c:pt idx="30">
                    <c:v>All Routes</c:v>
                  </c:pt>
                  <c:pt idx="32">
                    <c:v>Screen detected</c:v>
                  </c:pt>
                  <c:pt idx="33">
                    <c:v>Two Week Wait</c:v>
                  </c:pt>
                  <c:pt idx="34">
                    <c:v>GP referral</c:v>
                  </c:pt>
                  <c:pt idx="35">
                    <c:v>IP &amp; OP</c:v>
                  </c:pt>
                  <c:pt idx="36">
                    <c:v>Emergency presentation</c:v>
                  </c:pt>
                  <c:pt idx="37">
                    <c:v>Unknown</c:v>
                  </c:pt>
                  <c:pt idx="38">
                    <c:v>All Routes</c:v>
                  </c:pt>
                  <c:pt idx="40">
                    <c:v>Screen detected</c:v>
                  </c:pt>
                  <c:pt idx="41">
                    <c:v>Two Week Wait</c:v>
                  </c:pt>
                  <c:pt idx="42">
                    <c:v>GP referral</c:v>
                  </c:pt>
                  <c:pt idx="43">
                    <c:v>IP &amp; OP</c:v>
                  </c:pt>
                  <c:pt idx="44">
                    <c:v>Emergency presentation</c:v>
                  </c:pt>
                  <c:pt idx="45">
                    <c:v>Unknown</c:v>
                  </c:pt>
                  <c:pt idx="46">
                    <c:v>All Routes</c:v>
                  </c:pt>
                </c:lvl>
                <c:lvl>
                  <c:pt idx="0">
                    <c:v>Under 50</c:v>
                  </c:pt>
                  <c:pt idx="8">
                    <c:v>50-59</c:v>
                  </c:pt>
                  <c:pt idx="16">
                    <c:v>60-69</c:v>
                  </c:pt>
                  <c:pt idx="24">
                    <c:v>70-79</c:v>
                  </c:pt>
                  <c:pt idx="32">
                    <c:v>80-84</c:v>
                  </c:pt>
                  <c:pt idx="40">
                    <c:v>85+</c:v>
                  </c:pt>
                </c:lvl>
              </c:multiLvlStrCache>
            </c:multiLvlStrRef>
          </c:cat>
          <c:val>
            <c:numRef>
              <c:f>Age!$AD$7:$AD$53</c:f>
              <c:numCache>
                <c:formatCode>0%</c:formatCode>
                <c:ptCount val="47"/>
                <c:pt idx="0">
                  <c:v>5.909090909090909E-3</c:v>
                </c:pt>
                <c:pt idx="1">
                  <c:v>1.5126988557075076E-2</c:v>
                </c:pt>
                <c:pt idx="2">
                  <c:v>3.4580498866213151E-2</c:v>
                </c:pt>
                <c:pt idx="3">
                  <c:v>5.0734312416555405E-2</c:v>
                </c:pt>
                <c:pt idx="4">
                  <c:v>0.16058394160583941</c:v>
                </c:pt>
                <c:pt idx="5">
                  <c:v>3.4174125305126118E-2</c:v>
                </c:pt>
                <c:pt idx="6">
                  <c:v>2.1204671173939767E-2</c:v>
                </c:pt>
                <c:pt idx="8">
                  <c:v>3.8560411311053984E-3</c:v>
                </c:pt>
                <c:pt idx="9">
                  <c:v>1.9587176108915239E-2</c:v>
                </c:pt>
                <c:pt idx="10">
                  <c:v>4.1237113402061855E-2</c:v>
                </c:pt>
                <c:pt idx="11">
                  <c:v>4.5679012345679011E-2</c:v>
                </c:pt>
                <c:pt idx="12">
                  <c:v>0.1226215644820296</c:v>
                </c:pt>
                <c:pt idx="13">
                  <c:v>2.7468448403860431E-2</c:v>
                </c:pt>
                <c:pt idx="14">
                  <c:v>1.6897394136807818E-2</c:v>
                </c:pt>
                <c:pt idx="16">
                  <c:v>2.7842987388764537E-3</c:v>
                </c:pt>
                <c:pt idx="17">
                  <c:v>2.1204777566210836E-2</c:v>
                </c:pt>
                <c:pt idx="18">
                  <c:v>4.6403712296983757E-2</c:v>
                </c:pt>
                <c:pt idx="19">
                  <c:v>5.5424528301886794E-2</c:v>
                </c:pt>
                <c:pt idx="20">
                  <c:v>9.8634294385432475E-2</c:v>
                </c:pt>
                <c:pt idx="21">
                  <c:v>1.9722425127830533E-2</c:v>
                </c:pt>
                <c:pt idx="22">
                  <c:v>1.532863446220847E-2</c:v>
                </c:pt>
                <c:pt idx="24">
                  <c:v>1.9517388218594747E-3</c:v>
                </c:pt>
                <c:pt idx="25">
                  <c:v>1.8676989948383592E-2</c:v>
                </c:pt>
                <c:pt idx="26">
                  <c:v>3.8497217068645638E-2</c:v>
                </c:pt>
                <c:pt idx="27">
                  <c:v>5.1886792452830191E-2</c:v>
                </c:pt>
                <c:pt idx="28">
                  <c:v>5.8400718778077267E-2</c:v>
                </c:pt>
                <c:pt idx="29">
                  <c:v>1.3824884792626729E-2</c:v>
                </c:pt>
                <c:pt idx="30">
                  <c:v>1.9104190078664311E-2</c:v>
                </c:pt>
                <c:pt idx="32">
                  <c:v>0</c:v>
                </c:pt>
                <c:pt idx="33">
                  <c:v>1.4723597911926114E-2</c:v>
                </c:pt>
                <c:pt idx="34">
                  <c:v>3.0009680542110357E-2</c:v>
                </c:pt>
                <c:pt idx="35">
                  <c:v>4.9618320610687022E-2</c:v>
                </c:pt>
                <c:pt idx="36">
                  <c:v>1.9128586609989374E-2</c:v>
                </c:pt>
                <c:pt idx="37">
                  <c:v>6.2111801242236021E-3</c:v>
                </c:pt>
                <c:pt idx="38">
                  <c:v>1.6781453099233679E-2</c:v>
                </c:pt>
                <c:pt idx="40">
                  <c:v>0</c:v>
                </c:pt>
                <c:pt idx="41">
                  <c:v>9.8316332800786523E-3</c:v>
                </c:pt>
                <c:pt idx="42">
                  <c:v>1.4693877551020407E-2</c:v>
                </c:pt>
                <c:pt idx="43">
                  <c:v>2.0833333333333332E-2</c:v>
                </c:pt>
                <c:pt idx="44">
                  <c:v>6.4177362893815633E-3</c:v>
                </c:pt>
                <c:pt idx="45">
                  <c:v>8.368200836820083E-3</c:v>
                </c:pt>
                <c:pt idx="46">
                  <c:v>1.0011123470522803E-2</c:v>
                </c:pt>
              </c:numCache>
            </c:numRef>
          </c:val>
        </c:ser>
        <c:ser>
          <c:idx val="5"/>
          <c:order val="5"/>
          <c:tx>
            <c:strRef>
              <c:f>Age!$AH$6</c:f>
              <c:strCache>
                <c:ptCount val="1"/>
                <c:pt idx="0">
                  <c:v>Chemotherapy and Radiotherapy</c:v>
                </c:pt>
              </c:strCache>
            </c:strRef>
          </c:tx>
          <c:spPr>
            <a:solidFill>
              <a:srgbClr val="A0C5D0"/>
            </a:solidFill>
          </c:spPr>
          <c:invertIfNegative val="0"/>
          <c:cat>
            <c:multiLvlStrRef>
              <c:f>Age!$AA$7:$AB$53</c:f>
              <c:multiLvlStrCache>
                <c:ptCount val="47"/>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pt idx="24">
                    <c:v>Screen detected</c:v>
                  </c:pt>
                  <c:pt idx="25">
                    <c:v>Two Week Wait</c:v>
                  </c:pt>
                  <c:pt idx="26">
                    <c:v>GP referral</c:v>
                  </c:pt>
                  <c:pt idx="27">
                    <c:v>IP &amp; OP</c:v>
                  </c:pt>
                  <c:pt idx="28">
                    <c:v>Emergency presentation</c:v>
                  </c:pt>
                  <c:pt idx="29">
                    <c:v>Unknown</c:v>
                  </c:pt>
                  <c:pt idx="30">
                    <c:v>All Routes</c:v>
                  </c:pt>
                  <c:pt idx="32">
                    <c:v>Screen detected</c:v>
                  </c:pt>
                  <c:pt idx="33">
                    <c:v>Two Week Wait</c:v>
                  </c:pt>
                  <c:pt idx="34">
                    <c:v>GP referral</c:v>
                  </c:pt>
                  <c:pt idx="35">
                    <c:v>IP &amp; OP</c:v>
                  </c:pt>
                  <c:pt idx="36">
                    <c:v>Emergency presentation</c:v>
                  </c:pt>
                  <c:pt idx="37">
                    <c:v>Unknown</c:v>
                  </c:pt>
                  <c:pt idx="38">
                    <c:v>All Routes</c:v>
                  </c:pt>
                  <c:pt idx="40">
                    <c:v>Screen detected</c:v>
                  </c:pt>
                  <c:pt idx="41">
                    <c:v>Two Week Wait</c:v>
                  </c:pt>
                  <c:pt idx="42">
                    <c:v>GP referral</c:v>
                  </c:pt>
                  <c:pt idx="43">
                    <c:v>IP &amp; OP</c:v>
                  </c:pt>
                  <c:pt idx="44">
                    <c:v>Emergency presentation</c:v>
                  </c:pt>
                  <c:pt idx="45">
                    <c:v>Unknown</c:v>
                  </c:pt>
                  <c:pt idx="46">
                    <c:v>All Routes</c:v>
                  </c:pt>
                </c:lvl>
                <c:lvl>
                  <c:pt idx="0">
                    <c:v>Under 50</c:v>
                  </c:pt>
                  <c:pt idx="8">
                    <c:v>50-59</c:v>
                  </c:pt>
                  <c:pt idx="16">
                    <c:v>60-69</c:v>
                  </c:pt>
                  <c:pt idx="24">
                    <c:v>70-79</c:v>
                  </c:pt>
                  <c:pt idx="32">
                    <c:v>80-84</c:v>
                  </c:pt>
                  <c:pt idx="40">
                    <c:v>85+</c:v>
                  </c:pt>
                </c:lvl>
              </c:multiLvlStrCache>
            </c:multiLvlStrRef>
          </c:cat>
          <c:val>
            <c:numRef>
              <c:f>Age!$AH$7:$AH$53</c:f>
              <c:numCache>
                <c:formatCode>0%</c:formatCode>
                <c:ptCount val="47"/>
                <c:pt idx="0">
                  <c:v>4.0909090909090912E-3</c:v>
                </c:pt>
                <c:pt idx="1">
                  <c:v>1.4010605637733743E-2</c:v>
                </c:pt>
                <c:pt idx="2">
                  <c:v>4.1666666666666664E-2</c:v>
                </c:pt>
                <c:pt idx="3">
                  <c:v>6.1415220293724967E-2</c:v>
                </c:pt>
                <c:pt idx="4">
                  <c:v>0.15085158150851583</c:v>
                </c:pt>
                <c:pt idx="5">
                  <c:v>4.0683482506102521E-2</c:v>
                </c:pt>
                <c:pt idx="6">
                  <c:v>2.1704056545789798E-2</c:v>
                </c:pt>
                <c:pt idx="8">
                  <c:v>4.7633449266596102E-3</c:v>
                </c:pt>
                <c:pt idx="9">
                  <c:v>1.6952129995608255E-2</c:v>
                </c:pt>
                <c:pt idx="10">
                  <c:v>3.7651277454056477E-2</c:v>
                </c:pt>
                <c:pt idx="11">
                  <c:v>4.0740740740740744E-2</c:v>
                </c:pt>
                <c:pt idx="12">
                  <c:v>0.10993657505285412</c:v>
                </c:pt>
                <c:pt idx="13">
                  <c:v>3.4892353377876766E-2</c:v>
                </c:pt>
                <c:pt idx="14">
                  <c:v>1.6015200868621064E-2</c:v>
                </c:pt>
                <c:pt idx="16">
                  <c:v>3.5486160397444995E-3</c:v>
                </c:pt>
                <c:pt idx="17">
                  <c:v>1.4194218452483988E-2</c:v>
                </c:pt>
                <c:pt idx="18">
                  <c:v>3.8979118329466357E-2</c:v>
                </c:pt>
                <c:pt idx="19">
                  <c:v>2.8301886792452831E-2</c:v>
                </c:pt>
                <c:pt idx="20">
                  <c:v>6.3732928679817905E-2</c:v>
                </c:pt>
                <c:pt idx="21">
                  <c:v>2.483564645726808E-2</c:v>
                </c:pt>
                <c:pt idx="22">
                  <c:v>1.1833132771760931E-2</c:v>
                </c:pt>
                <c:pt idx="24">
                  <c:v>1.4194464158977999E-3</c:v>
                </c:pt>
                <c:pt idx="25">
                  <c:v>9.5082857919043737E-3</c:v>
                </c:pt>
                <c:pt idx="26">
                  <c:v>2.7829313543599257E-2</c:v>
                </c:pt>
                <c:pt idx="27">
                  <c:v>2.20125786163522E-2</c:v>
                </c:pt>
                <c:pt idx="28">
                  <c:v>4.3126684636118601E-2</c:v>
                </c:pt>
                <c:pt idx="29">
                  <c:v>1.5360983102918587E-2</c:v>
                </c:pt>
                <c:pt idx="30">
                  <c:v>1.1237758869802536E-2</c:v>
                </c:pt>
                <c:pt idx="32">
                  <c:v>0</c:v>
                </c:pt>
                <c:pt idx="33">
                  <c:v>4.5509302636862533E-3</c:v>
                </c:pt>
                <c:pt idx="34">
                  <c:v>1.2584704743465635E-2</c:v>
                </c:pt>
                <c:pt idx="35">
                  <c:v>1.1450381679389313E-2</c:v>
                </c:pt>
                <c:pt idx="36">
                  <c:v>2.2316684378320937E-2</c:v>
                </c:pt>
                <c:pt idx="37">
                  <c:v>0</c:v>
                </c:pt>
                <c:pt idx="38">
                  <c:v>6.8871859540207588E-3</c:v>
                </c:pt>
                <c:pt idx="40">
                  <c:v>0</c:v>
                </c:pt>
                <c:pt idx="41">
                  <c:v>2.212117488017697E-3</c:v>
                </c:pt>
                <c:pt idx="42">
                  <c:v>2.4489795918367346E-3</c:v>
                </c:pt>
                <c:pt idx="43">
                  <c:v>3.472222222222222E-3</c:v>
                </c:pt>
                <c:pt idx="44">
                  <c:v>3.5005834305717621E-3</c:v>
                </c:pt>
                <c:pt idx="45">
                  <c:v>0</c:v>
                </c:pt>
                <c:pt idx="46">
                  <c:v>2.3958244202960553E-3</c:v>
                </c:pt>
              </c:numCache>
            </c:numRef>
          </c:val>
        </c:ser>
        <c:ser>
          <c:idx val="6"/>
          <c:order val="6"/>
          <c:tx>
            <c:strRef>
              <c:f>Age!$AJ$6</c:f>
              <c:strCache>
                <c:ptCount val="1"/>
                <c:pt idx="0">
                  <c:v>Resection, Chemotherapy and Radiotherapy</c:v>
                </c:pt>
              </c:strCache>
            </c:strRef>
          </c:tx>
          <c:spPr>
            <a:solidFill>
              <a:schemeClr val="accent5">
                <a:lumMod val="75000"/>
              </a:schemeClr>
            </a:solidFill>
          </c:spPr>
          <c:invertIfNegative val="0"/>
          <c:cat>
            <c:multiLvlStrRef>
              <c:f>Age!$AA$7:$AB$53</c:f>
              <c:multiLvlStrCache>
                <c:ptCount val="47"/>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pt idx="24">
                    <c:v>Screen detected</c:v>
                  </c:pt>
                  <c:pt idx="25">
                    <c:v>Two Week Wait</c:v>
                  </c:pt>
                  <c:pt idx="26">
                    <c:v>GP referral</c:v>
                  </c:pt>
                  <c:pt idx="27">
                    <c:v>IP &amp; OP</c:v>
                  </c:pt>
                  <c:pt idx="28">
                    <c:v>Emergency presentation</c:v>
                  </c:pt>
                  <c:pt idx="29">
                    <c:v>Unknown</c:v>
                  </c:pt>
                  <c:pt idx="30">
                    <c:v>All Routes</c:v>
                  </c:pt>
                  <c:pt idx="32">
                    <c:v>Screen detected</c:v>
                  </c:pt>
                  <c:pt idx="33">
                    <c:v>Two Week Wait</c:v>
                  </c:pt>
                  <c:pt idx="34">
                    <c:v>GP referral</c:v>
                  </c:pt>
                  <c:pt idx="35">
                    <c:v>IP &amp; OP</c:v>
                  </c:pt>
                  <c:pt idx="36">
                    <c:v>Emergency presentation</c:v>
                  </c:pt>
                  <c:pt idx="37">
                    <c:v>Unknown</c:v>
                  </c:pt>
                  <c:pt idx="38">
                    <c:v>All Routes</c:v>
                  </c:pt>
                  <c:pt idx="40">
                    <c:v>Screen detected</c:v>
                  </c:pt>
                  <c:pt idx="41">
                    <c:v>Two Week Wait</c:v>
                  </c:pt>
                  <c:pt idx="42">
                    <c:v>GP referral</c:v>
                  </c:pt>
                  <c:pt idx="43">
                    <c:v>IP &amp; OP</c:v>
                  </c:pt>
                  <c:pt idx="44">
                    <c:v>Emergency presentation</c:v>
                  </c:pt>
                  <c:pt idx="45">
                    <c:v>Unknown</c:v>
                  </c:pt>
                  <c:pt idx="46">
                    <c:v>All Routes</c:v>
                  </c:pt>
                </c:lvl>
                <c:lvl>
                  <c:pt idx="0">
                    <c:v>Under 50</c:v>
                  </c:pt>
                  <c:pt idx="8">
                    <c:v>50-59</c:v>
                  </c:pt>
                  <c:pt idx="16">
                    <c:v>60-69</c:v>
                  </c:pt>
                  <c:pt idx="24">
                    <c:v>70-79</c:v>
                  </c:pt>
                  <c:pt idx="32">
                    <c:v>80-84</c:v>
                  </c:pt>
                  <c:pt idx="40">
                    <c:v>85+</c:v>
                  </c:pt>
                </c:lvl>
              </c:multiLvlStrCache>
            </c:multiLvlStrRef>
          </c:cat>
          <c:val>
            <c:numRef>
              <c:f>Age!$AJ$7:$AJ$53</c:f>
              <c:numCache>
                <c:formatCode>0%</c:formatCode>
                <c:ptCount val="47"/>
                <c:pt idx="0">
                  <c:v>0.28999999999999998</c:v>
                </c:pt>
                <c:pt idx="1">
                  <c:v>0.60669829751604798</c:v>
                </c:pt>
                <c:pt idx="2">
                  <c:v>0.29818594104308388</c:v>
                </c:pt>
                <c:pt idx="3">
                  <c:v>0.22296395193591456</c:v>
                </c:pt>
                <c:pt idx="4">
                  <c:v>0.25060827250608275</c:v>
                </c:pt>
                <c:pt idx="5">
                  <c:v>0.16680227827502034</c:v>
                </c:pt>
                <c:pt idx="6">
                  <c:v>0.5006914566687154</c:v>
                </c:pt>
                <c:pt idx="8">
                  <c:v>0.25616210494480568</c:v>
                </c:pt>
                <c:pt idx="9">
                  <c:v>0.52507685551163807</c:v>
                </c:pt>
                <c:pt idx="10">
                  <c:v>0.23890632003585835</c:v>
                </c:pt>
                <c:pt idx="11">
                  <c:v>0.19876543209876543</c:v>
                </c:pt>
                <c:pt idx="12">
                  <c:v>0.17124735729386892</c:v>
                </c:pt>
                <c:pt idx="13">
                  <c:v>0.18411284335560504</c:v>
                </c:pt>
                <c:pt idx="14">
                  <c:v>0.35250407166123776</c:v>
                </c:pt>
                <c:pt idx="16">
                  <c:v>0.17087951083692746</c:v>
                </c:pt>
                <c:pt idx="17">
                  <c:v>0.37519473775315909</c:v>
                </c:pt>
                <c:pt idx="18">
                  <c:v>0.16473317865429235</c:v>
                </c:pt>
                <c:pt idx="19">
                  <c:v>0.15330188679245282</c:v>
                </c:pt>
                <c:pt idx="20">
                  <c:v>9.2564491654021239E-2</c:v>
                </c:pt>
                <c:pt idx="21">
                  <c:v>0.15704894083272461</c:v>
                </c:pt>
                <c:pt idx="22">
                  <c:v>0.23568849922640536</c:v>
                </c:pt>
                <c:pt idx="24">
                  <c:v>9.4748048261178136E-2</c:v>
                </c:pt>
                <c:pt idx="25">
                  <c:v>0.13820972561803857</c:v>
                </c:pt>
                <c:pt idx="26">
                  <c:v>7.3747680890538028E-2</c:v>
                </c:pt>
                <c:pt idx="27">
                  <c:v>6.6037735849056603E-2</c:v>
                </c:pt>
                <c:pt idx="28">
                  <c:v>2.2461814914645103E-2</c:v>
                </c:pt>
                <c:pt idx="29">
                  <c:v>6.9124423963133647E-2</c:v>
                </c:pt>
                <c:pt idx="30">
                  <c:v>0.11398298282228288</c:v>
                </c:pt>
                <c:pt idx="32">
                  <c:v>2.2675736961451247E-2</c:v>
                </c:pt>
                <c:pt idx="33">
                  <c:v>2.0880738856913397E-2</c:v>
                </c:pt>
                <c:pt idx="34">
                  <c:v>1.1616650532429816E-2</c:v>
                </c:pt>
                <c:pt idx="35">
                  <c:v>1.9083969465648856E-2</c:v>
                </c:pt>
                <c:pt idx="36">
                  <c:v>3.188097768331562E-3</c:v>
                </c:pt>
                <c:pt idx="37">
                  <c:v>1.2422360248447204E-2</c:v>
                </c:pt>
                <c:pt idx="38">
                  <c:v>1.8236492385294404E-2</c:v>
                </c:pt>
                <c:pt idx="40">
                  <c:v>0</c:v>
                </c:pt>
                <c:pt idx="41">
                  <c:v>3.9326533120314609E-3</c:v>
                </c:pt>
                <c:pt idx="42">
                  <c:v>2.4489795918367346E-3</c:v>
                </c:pt>
                <c:pt idx="43">
                  <c:v>3.472222222222222E-3</c:v>
                </c:pt>
                <c:pt idx="44">
                  <c:v>0</c:v>
                </c:pt>
                <c:pt idx="45">
                  <c:v>0</c:v>
                </c:pt>
                <c:pt idx="46">
                  <c:v>3.0803456832377858E-3</c:v>
                </c:pt>
              </c:numCache>
            </c:numRef>
          </c:val>
        </c:ser>
        <c:ser>
          <c:idx val="7"/>
          <c:order val="7"/>
          <c:tx>
            <c:strRef>
              <c:f>Age!$AI$6</c:f>
              <c:strCache>
                <c:ptCount val="1"/>
                <c:pt idx="0">
                  <c:v>Other care</c:v>
                </c:pt>
              </c:strCache>
            </c:strRef>
          </c:tx>
          <c:spPr>
            <a:solidFill>
              <a:schemeClr val="tx1">
                <a:lumMod val="65000"/>
                <a:lumOff val="35000"/>
              </a:schemeClr>
            </a:solidFill>
          </c:spPr>
          <c:invertIfNegative val="0"/>
          <c:cat>
            <c:multiLvlStrRef>
              <c:f>Age!$AA$7:$AB$53</c:f>
              <c:multiLvlStrCache>
                <c:ptCount val="47"/>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pt idx="24">
                    <c:v>Screen detected</c:v>
                  </c:pt>
                  <c:pt idx="25">
                    <c:v>Two Week Wait</c:v>
                  </c:pt>
                  <c:pt idx="26">
                    <c:v>GP referral</c:v>
                  </c:pt>
                  <c:pt idx="27">
                    <c:v>IP &amp; OP</c:v>
                  </c:pt>
                  <c:pt idx="28">
                    <c:v>Emergency presentation</c:v>
                  </c:pt>
                  <c:pt idx="29">
                    <c:v>Unknown</c:v>
                  </c:pt>
                  <c:pt idx="30">
                    <c:v>All Routes</c:v>
                  </c:pt>
                  <c:pt idx="32">
                    <c:v>Screen detected</c:v>
                  </c:pt>
                  <c:pt idx="33">
                    <c:v>Two Week Wait</c:v>
                  </c:pt>
                  <c:pt idx="34">
                    <c:v>GP referral</c:v>
                  </c:pt>
                  <c:pt idx="35">
                    <c:v>IP &amp; OP</c:v>
                  </c:pt>
                  <c:pt idx="36">
                    <c:v>Emergency presentation</c:v>
                  </c:pt>
                  <c:pt idx="37">
                    <c:v>Unknown</c:v>
                  </c:pt>
                  <c:pt idx="38">
                    <c:v>All Routes</c:v>
                  </c:pt>
                  <c:pt idx="40">
                    <c:v>Screen detected</c:v>
                  </c:pt>
                  <c:pt idx="41">
                    <c:v>Two Week Wait</c:v>
                  </c:pt>
                  <c:pt idx="42">
                    <c:v>GP referral</c:v>
                  </c:pt>
                  <c:pt idx="43">
                    <c:v>IP &amp; OP</c:v>
                  </c:pt>
                  <c:pt idx="44">
                    <c:v>Emergency presentation</c:v>
                  </c:pt>
                  <c:pt idx="45">
                    <c:v>Unknown</c:v>
                  </c:pt>
                  <c:pt idx="46">
                    <c:v>All Routes</c:v>
                  </c:pt>
                </c:lvl>
                <c:lvl>
                  <c:pt idx="0">
                    <c:v>Under 50</c:v>
                  </c:pt>
                  <c:pt idx="8">
                    <c:v>50-59</c:v>
                  </c:pt>
                  <c:pt idx="16">
                    <c:v>60-69</c:v>
                  </c:pt>
                  <c:pt idx="24">
                    <c:v>70-79</c:v>
                  </c:pt>
                  <c:pt idx="32">
                    <c:v>80-84</c:v>
                  </c:pt>
                  <c:pt idx="40">
                    <c:v>85+</c:v>
                  </c:pt>
                </c:lvl>
              </c:multiLvlStrCache>
            </c:multiLvlStrRef>
          </c:cat>
          <c:val>
            <c:numRef>
              <c:f>Age!$AI$7:$AI$53</c:f>
              <c:numCache>
                <c:formatCode>0%</c:formatCode>
                <c:ptCount val="47"/>
                <c:pt idx="0">
                  <c:v>1.9090909090909092E-2</c:v>
                </c:pt>
                <c:pt idx="1">
                  <c:v>5.8051911805749373E-3</c:v>
                </c:pt>
                <c:pt idx="2">
                  <c:v>0.13038548752834467</c:v>
                </c:pt>
                <c:pt idx="3">
                  <c:v>8.2777036048064079E-2</c:v>
                </c:pt>
                <c:pt idx="4">
                  <c:v>0.170316301703163</c:v>
                </c:pt>
                <c:pt idx="5">
                  <c:v>0.15134255492270138</c:v>
                </c:pt>
                <c:pt idx="6">
                  <c:v>3.5494775660725258E-2</c:v>
                </c:pt>
                <c:pt idx="8">
                  <c:v>2.003629215182217E-2</c:v>
                </c:pt>
                <c:pt idx="9">
                  <c:v>1.5458937198067632E-2</c:v>
                </c:pt>
                <c:pt idx="10">
                  <c:v>0.1214701927386822</c:v>
                </c:pt>
                <c:pt idx="11">
                  <c:v>7.5308641975308649E-2</c:v>
                </c:pt>
                <c:pt idx="12">
                  <c:v>0.29175475687103591</c:v>
                </c:pt>
                <c:pt idx="13">
                  <c:v>0.13066072754268745</c:v>
                </c:pt>
                <c:pt idx="14">
                  <c:v>3.6882464712269275E-2</c:v>
                </c:pt>
                <c:pt idx="16">
                  <c:v>1.9271714800458591E-2</c:v>
                </c:pt>
                <c:pt idx="17">
                  <c:v>3.9380301194391551E-2</c:v>
                </c:pt>
                <c:pt idx="18">
                  <c:v>0.12389791183294664</c:v>
                </c:pt>
                <c:pt idx="19">
                  <c:v>0.10259433962264151</c:v>
                </c:pt>
                <c:pt idx="20">
                  <c:v>0.38694992412746587</c:v>
                </c:pt>
                <c:pt idx="21">
                  <c:v>0.10226442658875091</c:v>
                </c:pt>
                <c:pt idx="22">
                  <c:v>4.4610624033006703E-2</c:v>
                </c:pt>
                <c:pt idx="24">
                  <c:v>2.6082327892122073E-2</c:v>
                </c:pt>
                <c:pt idx="25">
                  <c:v>0.12428687856560718</c:v>
                </c:pt>
                <c:pt idx="26">
                  <c:v>0.22170686456400743</c:v>
                </c:pt>
                <c:pt idx="27">
                  <c:v>0.19811320754716982</c:v>
                </c:pt>
                <c:pt idx="28">
                  <c:v>0.56424079065588495</c:v>
                </c:pt>
                <c:pt idx="29">
                  <c:v>0.2119815668202765</c:v>
                </c:pt>
                <c:pt idx="30">
                  <c:v>0.13433135334724675</c:v>
                </c:pt>
                <c:pt idx="32">
                  <c:v>7.2562358276643993E-2</c:v>
                </c:pt>
                <c:pt idx="33">
                  <c:v>0.32940704055681969</c:v>
                </c:pt>
                <c:pt idx="34">
                  <c:v>0.44143272023233299</c:v>
                </c:pt>
                <c:pt idx="35">
                  <c:v>0.43129770992366412</c:v>
                </c:pt>
                <c:pt idx="36">
                  <c:v>0.73645058448459089</c:v>
                </c:pt>
                <c:pt idx="37">
                  <c:v>0.49689440993788819</c:v>
                </c:pt>
                <c:pt idx="38">
                  <c:v>0.37200504413619168</c:v>
                </c:pt>
                <c:pt idx="40">
                  <c:v>0.34523809523809523</c:v>
                </c:pt>
                <c:pt idx="41">
                  <c:v>0.64704436524517639</c:v>
                </c:pt>
                <c:pt idx="42">
                  <c:v>0.70857142857142852</c:v>
                </c:pt>
                <c:pt idx="43">
                  <c:v>0.72222222222222221</c:v>
                </c:pt>
                <c:pt idx="44">
                  <c:v>0.8856476079346558</c:v>
                </c:pt>
                <c:pt idx="45">
                  <c:v>0.82845188284518834</c:v>
                </c:pt>
                <c:pt idx="46">
                  <c:v>0.69187986651835376</c:v>
                </c:pt>
              </c:numCache>
            </c:numRef>
          </c:val>
        </c:ser>
        <c:dLbls>
          <c:showLegendKey val="0"/>
          <c:showVal val="0"/>
          <c:showCatName val="0"/>
          <c:showSerName val="0"/>
          <c:showPercent val="0"/>
          <c:showBubbleSize val="0"/>
        </c:dLbls>
        <c:gapWidth val="95"/>
        <c:overlap val="100"/>
        <c:axId val="113273856"/>
        <c:axId val="113566848"/>
      </c:barChart>
      <c:catAx>
        <c:axId val="113273856"/>
        <c:scaling>
          <c:orientation val="minMax"/>
        </c:scaling>
        <c:delete val="0"/>
        <c:axPos val="b"/>
        <c:title>
          <c:tx>
            <c:rich>
              <a:bodyPr/>
              <a:lstStyle/>
              <a:p>
                <a:pPr>
                  <a:defRPr/>
                </a:pPr>
                <a:r>
                  <a:rPr lang="en-GB"/>
                  <a:t>Route to Diagnosis and age</a:t>
                </a:r>
              </a:p>
            </c:rich>
          </c:tx>
          <c:layout/>
          <c:overlay val="0"/>
        </c:title>
        <c:numFmt formatCode="General" sourceLinked="1"/>
        <c:majorTickMark val="out"/>
        <c:minorTickMark val="none"/>
        <c:tickLblPos val="nextTo"/>
        <c:txPr>
          <a:bodyPr rot="-5400000" vert="horz"/>
          <a:lstStyle/>
          <a:p>
            <a:pPr>
              <a:defRPr/>
            </a:pPr>
            <a:endParaRPr lang="en-US"/>
          </a:p>
        </c:txPr>
        <c:crossAx val="113566848"/>
        <c:crosses val="autoZero"/>
        <c:auto val="1"/>
        <c:lblAlgn val="ctr"/>
        <c:lblOffset val="100"/>
        <c:noMultiLvlLbl val="0"/>
      </c:catAx>
      <c:valAx>
        <c:axId val="113566848"/>
        <c:scaling>
          <c:orientation val="minMax"/>
          <c:max val="1"/>
        </c:scaling>
        <c:delete val="0"/>
        <c:axPos val="l"/>
        <c:majorGridlines>
          <c:spPr>
            <a:ln>
              <a:solidFill>
                <a:schemeClr val="bg1"/>
              </a:solidFill>
            </a:ln>
          </c:spPr>
        </c:majorGridlines>
        <c:title>
          <c:tx>
            <c:rich>
              <a:bodyPr rot="-5400000" vert="horz"/>
              <a:lstStyle/>
              <a:p>
                <a:pPr>
                  <a:defRPr/>
                </a:pPr>
                <a:r>
                  <a:rPr lang="en-GB"/>
                  <a:t>Percentage by treatment modality</a:t>
                </a:r>
              </a:p>
            </c:rich>
          </c:tx>
          <c:layout>
            <c:manualLayout>
              <c:xMode val="edge"/>
              <c:yMode val="edge"/>
              <c:x val="2.3280015198412427E-2"/>
              <c:y val="0.21561480676984346"/>
            </c:manualLayout>
          </c:layout>
          <c:overlay val="0"/>
        </c:title>
        <c:numFmt formatCode="0%" sourceLinked="1"/>
        <c:majorTickMark val="out"/>
        <c:minorTickMark val="none"/>
        <c:tickLblPos val="nextTo"/>
        <c:crossAx val="113273856"/>
        <c:crosses val="autoZero"/>
        <c:crossBetween val="between"/>
      </c:valAx>
      <c:spPr>
        <a:solidFill>
          <a:schemeClr val="bg1">
            <a:lumMod val="85000"/>
          </a:schemeClr>
        </a:solidFill>
      </c:spPr>
    </c:plotArea>
    <c:legend>
      <c:legendPos val="r"/>
      <c:layout>
        <c:manualLayout>
          <c:xMode val="edge"/>
          <c:yMode val="edge"/>
          <c:x val="0.70846027131535794"/>
          <c:y val="0.11655145286675678"/>
          <c:w val="0.19256377952755904"/>
          <c:h val="0.50971273418408902"/>
        </c:manualLayout>
      </c:layout>
      <c:overlay val="0"/>
    </c:legend>
    <c:plotVisOnly val="1"/>
    <c:dispBlanksAs val="gap"/>
    <c:showDLblsOverMax val="0"/>
  </c:chart>
  <c:spPr>
    <a:solidFill>
      <a:srgbClr val="CCE3F1"/>
    </a:solidFill>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Lookups!$H$11</c:f>
          <c:strCache>
            <c:ptCount val="1"/>
            <c:pt idx="0">
              <c:v>Treatment type by age and Route, 2013-2015, Breast, England</c:v>
            </c:pt>
          </c:strCache>
        </c:strRef>
      </c:tx>
      <c:layout>
        <c:manualLayout>
          <c:xMode val="edge"/>
          <c:yMode val="edge"/>
          <c:x val="0.16150830914288342"/>
          <c:y val="1.2187745497330075E-2"/>
        </c:manualLayout>
      </c:layout>
      <c:overlay val="0"/>
      <c:txPr>
        <a:bodyPr/>
        <a:lstStyle/>
        <a:p>
          <a:pPr>
            <a:defRPr/>
          </a:pPr>
          <a:endParaRPr lang="en-US"/>
        </a:p>
      </c:txPr>
    </c:title>
    <c:autoTitleDeleted val="0"/>
    <c:plotArea>
      <c:layout>
        <c:manualLayout>
          <c:layoutTarget val="inner"/>
          <c:xMode val="edge"/>
          <c:yMode val="edge"/>
          <c:x val="8.341732283464566E-2"/>
          <c:y val="6.221151014659753E-2"/>
          <c:w val="0.62007835838701986"/>
          <c:h val="0.62151774506447566"/>
        </c:manualLayout>
      </c:layout>
      <c:barChart>
        <c:barDir val="col"/>
        <c:grouping val="stacked"/>
        <c:varyColors val="0"/>
        <c:ser>
          <c:idx val="0"/>
          <c:order val="0"/>
          <c:tx>
            <c:strRef>
              <c:f>Age!$AC$6</c:f>
              <c:strCache>
                <c:ptCount val="1"/>
                <c:pt idx="0">
                  <c:v>Tumour resection only</c:v>
                </c:pt>
              </c:strCache>
            </c:strRef>
          </c:tx>
          <c:spPr>
            <a:solidFill>
              <a:srgbClr val="00B092"/>
            </a:solidFill>
          </c:spPr>
          <c:invertIfNegative val="0"/>
          <c:cat>
            <c:multiLvlStrRef>
              <c:f>Age!$AA$58:$AB$105</c:f>
              <c:multiLvlStrCache>
                <c:ptCount val="48"/>
                <c:lvl>
                  <c:pt idx="0">
                    <c:v>Under 50</c:v>
                  </c:pt>
                  <c:pt idx="1">
                    <c:v>50-59</c:v>
                  </c:pt>
                  <c:pt idx="2">
                    <c:v>60-69</c:v>
                  </c:pt>
                  <c:pt idx="3">
                    <c:v>70-79</c:v>
                  </c:pt>
                  <c:pt idx="4">
                    <c:v>80-84</c:v>
                  </c:pt>
                  <c:pt idx="5">
                    <c:v>85+</c:v>
                  </c:pt>
                  <c:pt idx="7">
                    <c:v>Under 50</c:v>
                  </c:pt>
                  <c:pt idx="8">
                    <c:v>50-59</c:v>
                  </c:pt>
                  <c:pt idx="9">
                    <c:v>60-69</c:v>
                  </c:pt>
                  <c:pt idx="10">
                    <c:v>70-79</c:v>
                  </c:pt>
                  <c:pt idx="11">
                    <c:v>80-84</c:v>
                  </c:pt>
                  <c:pt idx="12">
                    <c:v>85+</c:v>
                  </c:pt>
                  <c:pt idx="14">
                    <c:v>Under 50</c:v>
                  </c:pt>
                  <c:pt idx="15">
                    <c:v>50-59</c:v>
                  </c:pt>
                  <c:pt idx="16">
                    <c:v>60-69</c:v>
                  </c:pt>
                  <c:pt idx="17">
                    <c:v>70-79</c:v>
                  </c:pt>
                  <c:pt idx="18">
                    <c:v>80-84</c:v>
                  </c:pt>
                  <c:pt idx="19">
                    <c:v>85+</c:v>
                  </c:pt>
                  <c:pt idx="21">
                    <c:v>Under 50</c:v>
                  </c:pt>
                  <c:pt idx="22">
                    <c:v>50-59</c:v>
                  </c:pt>
                  <c:pt idx="23">
                    <c:v>60-69</c:v>
                  </c:pt>
                  <c:pt idx="24">
                    <c:v>70-79</c:v>
                  </c:pt>
                  <c:pt idx="25">
                    <c:v>80-84</c:v>
                  </c:pt>
                  <c:pt idx="26">
                    <c:v>85+</c:v>
                  </c:pt>
                  <c:pt idx="28">
                    <c:v>Under 50</c:v>
                  </c:pt>
                  <c:pt idx="29">
                    <c:v>50-59</c:v>
                  </c:pt>
                  <c:pt idx="30">
                    <c:v>60-69</c:v>
                  </c:pt>
                  <c:pt idx="31">
                    <c:v>70-79</c:v>
                  </c:pt>
                  <c:pt idx="32">
                    <c:v>80-84</c:v>
                  </c:pt>
                  <c:pt idx="33">
                    <c:v>85+</c:v>
                  </c:pt>
                  <c:pt idx="35">
                    <c:v>Under 50</c:v>
                  </c:pt>
                  <c:pt idx="36">
                    <c:v>50-59</c:v>
                  </c:pt>
                  <c:pt idx="37">
                    <c:v>60-69</c:v>
                  </c:pt>
                  <c:pt idx="38">
                    <c:v>70-79</c:v>
                  </c:pt>
                  <c:pt idx="39">
                    <c:v>80-84</c:v>
                  </c:pt>
                  <c:pt idx="40">
                    <c:v>85+</c:v>
                  </c:pt>
                  <c:pt idx="42">
                    <c:v>Under 50</c:v>
                  </c:pt>
                  <c:pt idx="43">
                    <c:v>50-59</c:v>
                  </c:pt>
                  <c:pt idx="44">
                    <c:v>60-69</c:v>
                  </c:pt>
                  <c:pt idx="45">
                    <c:v>70-79</c:v>
                  </c:pt>
                  <c:pt idx="46">
                    <c:v>80-84</c:v>
                  </c:pt>
                  <c:pt idx="47">
                    <c:v>85+</c:v>
                  </c:pt>
                </c:lvl>
                <c:lvl>
                  <c:pt idx="0">
                    <c:v>Screen detected</c:v>
                  </c:pt>
                  <c:pt idx="7">
                    <c:v>Two Week Wait</c:v>
                  </c:pt>
                  <c:pt idx="14">
                    <c:v>GP referral</c:v>
                  </c:pt>
                  <c:pt idx="21">
                    <c:v>IP &amp; OP</c:v>
                  </c:pt>
                  <c:pt idx="28">
                    <c:v>Emergency presentation</c:v>
                  </c:pt>
                  <c:pt idx="35">
                    <c:v>Unknown</c:v>
                  </c:pt>
                  <c:pt idx="42">
                    <c:v>All Routes</c:v>
                  </c:pt>
                </c:lvl>
              </c:multiLvlStrCache>
            </c:multiLvlStrRef>
          </c:cat>
          <c:val>
            <c:numRef>
              <c:f>Age!$AC$58:$AC$105</c:f>
              <c:numCache>
                <c:formatCode>0%</c:formatCode>
                <c:ptCount val="48"/>
                <c:pt idx="0">
                  <c:v>0.13500000000000001</c:v>
                </c:pt>
                <c:pt idx="1">
                  <c:v>0.12891274761832755</c:v>
                </c:pt>
                <c:pt idx="2">
                  <c:v>0.13795927280668233</c:v>
                </c:pt>
                <c:pt idx="3">
                  <c:v>0.19570617459190914</c:v>
                </c:pt>
                <c:pt idx="4">
                  <c:v>0.28117913832199548</c:v>
                </c:pt>
                <c:pt idx="5">
                  <c:v>0.33333333333333331</c:v>
                </c:pt>
                <c:pt idx="7">
                  <c:v>7.5244208763605921E-2</c:v>
                </c:pt>
                <c:pt idx="8">
                  <c:v>8.8888888888888892E-2</c:v>
                </c:pt>
                <c:pt idx="9">
                  <c:v>0.1427211355374762</c:v>
                </c:pt>
                <c:pt idx="10">
                  <c:v>0.2297609345286607</c:v>
                </c:pt>
                <c:pt idx="11">
                  <c:v>0.26529246419488689</c:v>
                </c:pt>
                <c:pt idx="12">
                  <c:v>0.18667813690549342</c:v>
                </c:pt>
                <c:pt idx="14">
                  <c:v>0.18424036281179137</c:v>
                </c:pt>
                <c:pt idx="15">
                  <c:v>0.20932317346481399</c:v>
                </c:pt>
                <c:pt idx="16">
                  <c:v>0.22041763341067286</c:v>
                </c:pt>
                <c:pt idx="17">
                  <c:v>0.26205936920222633</c:v>
                </c:pt>
                <c:pt idx="18">
                  <c:v>0.24878993223620524</c:v>
                </c:pt>
                <c:pt idx="19">
                  <c:v>0.15183673469387754</c:v>
                </c:pt>
                <c:pt idx="21">
                  <c:v>0.23097463284379172</c:v>
                </c:pt>
                <c:pt idx="22">
                  <c:v>0.2382716049382716</c:v>
                </c:pt>
                <c:pt idx="23">
                  <c:v>0.22995283018867924</c:v>
                </c:pt>
                <c:pt idx="24">
                  <c:v>0.25786163522012578</c:v>
                </c:pt>
                <c:pt idx="25">
                  <c:v>0.23664122137404581</c:v>
                </c:pt>
                <c:pt idx="26">
                  <c:v>0.14930555555555555</c:v>
                </c:pt>
                <c:pt idx="28">
                  <c:v>8.7591240875912413E-2</c:v>
                </c:pt>
                <c:pt idx="29">
                  <c:v>6.765327695560254E-2</c:v>
                </c:pt>
                <c:pt idx="30">
                  <c:v>0.10318664643399089</c:v>
                </c:pt>
                <c:pt idx="31">
                  <c:v>9.7035040431266845E-2</c:v>
                </c:pt>
                <c:pt idx="32">
                  <c:v>8.1827842720510094E-2</c:v>
                </c:pt>
                <c:pt idx="33">
                  <c:v>3.6756126021003498E-2</c:v>
                </c:pt>
                <c:pt idx="35">
                  <c:v>0.28722538649308382</c:v>
                </c:pt>
                <c:pt idx="36">
                  <c:v>0.24276169265033407</c:v>
                </c:pt>
                <c:pt idx="37">
                  <c:v>0.25054784514243972</c:v>
                </c:pt>
                <c:pt idx="38">
                  <c:v>0.29339477726574503</c:v>
                </c:pt>
                <c:pt idx="39">
                  <c:v>0.2608695652173913</c:v>
                </c:pt>
                <c:pt idx="40">
                  <c:v>0.10460251046025104</c:v>
                </c:pt>
                <c:pt idx="42">
                  <c:v>0.10974953902888752</c:v>
                </c:pt>
                <c:pt idx="43">
                  <c:v>0.12676438653637351</c:v>
                </c:pt>
                <c:pt idx="44">
                  <c:v>0.15062174087444846</c:v>
                </c:pt>
                <c:pt idx="45">
                  <c:v>0.22130358002889711</c:v>
                </c:pt>
                <c:pt idx="46">
                  <c:v>0.24677466291589872</c:v>
                </c:pt>
                <c:pt idx="47">
                  <c:v>0.15949345426542311</c:v>
                </c:pt>
              </c:numCache>
            </c:numRef>
          </c:val>
        </c:ser>
        <c:ser>
          <c:idx val="1"/>
          <c:order val="1"/>
          <c:tx>
            <c:strRef>
              <c:f>Age!$AF$6</c:f>
              <c:strCache>
                <c:ptCount val="1"/>
                <c:pt idx="0">
                  <c:v>Tumour resection
 and Chemotherapy</c:v>
                </c:pt>
              </c:strCache>
            </c:strRef>
          </c:tx>
          <c:spPr>
            <a:solidFill>
              <a:srgbClr val="007E39"/>
            </a:solidFill>
          </c:spPr>
          <c:invertIfNegative val="0"/>
          <c:cat>
            <c:multiLvlStrRef>
              <c:f>Age!$AA$58:$AB$105</c:f>
              <c:multiLvlStrCache>
                <c:ptCount val="48"/>
                <c:lvl>
                  <c:pt idx="0">
                    <c:v>Under 50</c:v>
                  </c:pt>
                  <c:pt idx="1">
                    <c:v>50-59</c:v>
                  </c:pt>
                  <c:pt idx="2">
                    <c:v>60-69</c:v>
                  </c:pt>
                  <c:pt idx="3">
                    <c:v>70-79</c:v>
                  </c:pt>
                  <c:pt idx="4">
                    <c:v>80-84</c:v>
                  </c:pt>
                  <c:pt idx="5">
                    <c:v>85+</c:v>
                  </c:pt>
                  <c:pt idx="7">
                    <c:v>Under 50</c:v>
                  </c:pt>
                  <c:pt idx="8">
                    <c:v>50-59</c:v>
                  </c:pt>
                  <c:pt idx="9">
                    <c:v>60-69</c:v>
                  </c:pt>
                  <c:pt idx="10">
                    <c:v>70-79</c:v>
                  </c:pt>
                  <c:pt idx="11">
                    <c:v>80-84</c:v>
                  </c:pt>
                  <c:pt idx="12">
                    <c:v>85+</c:v>
                  </c:pt>
                  <c:pt idx="14">
                    <c:v>Under 50</c:v>
                  </c:pt>
                  <c:pt idx="15">
                    <c:v>50-59</c:v>
                  </c:pt>
                  <c:pt idx="16">
                    <c:v>60-69</c:v>
                  </c:pt>
                  <c:pt idx="17">
                    <c:v>70-79</c:v>
                  </c:pt>
                  <c:pt idx="18">
                    <c:v>80-84</c:v>
                  </c:pt>
                  <c:pt idx="19">
                    <c:v>85+</c:v>
                  </c:pt>
                  <c:pt idx="21">
                    <c:v>Under 50</c:v>
                  </c:pt>
                  <c:pt idx="22">
                    <c:v>50-59</c:v>
                  </c:pt>
                  <c:pt idx="23">
                    <c:v>60-69</c:v>
                  </c:pt>
                  <c:pt idx="24">
                    <c:v>70-79</c:v>
                  </c:pt>
                  <c:pt idx="25">
                    <c:v>80-84</c:v>
                  </c:pt>
                  <c:pt idx="26">
                    <c:v>85+</c:v>
                  </c:pt>
                  <c:pt idx="28">
                    <c:v>Under 50</c:v>
                  </c:pt>
                  <c:pt idx="29">
                    <c:v>50-59</c:v>
                  </c:pt>
                  <c:pt idx="30">
                    <c:v>60-69</c:v>
                  </c:pt>
                  <c:pt idx="31">
                    <c:v>70-79</c:v>
                  </c:pt>
                  <c:pt idx="32">
                    <c:v>80-84</c:v>
                  </c:pt>
                  <c:pt idx="33">
                    <c:v>85+</c:v>
                  </c:pt>
                  <c:pt idx="35">
                    <c:v>Under 50</c:v>
                  </c:pt>
                  <c:pt idx="36">
                    <c:v>50-59</c:v>
                  </c:pt>
                  <c:pt idx="37">
                    <c:v>60-69</c:v>
                  </c:pt>
                  <c:pt idx="38">
                    <c:v>70-79</c:v>
                  </c:pt>
                  <c:pt idx="39">
                    <c:v>80-84</c:v>
                  </c:pt>
                  <c:pt idx="40">
                    <c:v>85+</c:v>
                  </c:pt>
                  <c:pt idx="42">
                    <c:v>Under 50</c:v>
                  </c:pt>
                  <c:pt idx="43">
                    <c:v>50-59</c:v>
                  </c:pt>
                  <c:pt idx="44">
                    <c:v>60-69</c:v>
                  </c:pt>
                  <c:pt idx="45">
                    <c:v>70-79</c:v>
                  </c:pt>
                  <c:pt idx="46">
                    <c:v>80-84</c:v>
                  </c:pt>
                  <c:pt idx="47">
                    <c:v>85+</c:v>
                  </c:pt>
                </c:lvl>
                <c:lvl>
                  <c:pt idx="0">
                    <c:v>Screen detected</c:v>
                  </c:pt>
                  <c:pt idx="7">
                    <c:v>Two Week Wait</c:v>
                  </c:pt>
                  <c:pt idx="14">
                    <c:v>GP referral</c:v>
                  </c:pt>
                  <c:pt idx="21">
                    <c:v>IP &amp; OP</c:v>
                  </c:pt>
                  <c:pt idx="28">
                    <c:v>Emergency presentation</c:v>
                  </c:pt>
                  <c:pt idx="35">
                    <c:v>Unknown</c:v>
                  </c:pt>
                  <c:pt idx="42">
                    <c:v>All Routes</c:v>
                  </c:pt>
                </c:lvl>
              </c:multiLvlStrCache>
            </c:multiLvlStrRef>
          </c:cat>
          <c:val>
            <c:numRef>
              <c:f>Age!$AF$58:$AF$105</c:f>
              <c:numCache>
                <c:formatCode>0%</c:formatCode>
                <c:ptCount val="48"/>
                <c:pt idx="0">
                  <c:v>7.6818181818181813E-2</c:v>
                </c:pt>
                <c:pt idx="1">
                  <c:v>4.7709057916225615E-2</c:v>
                </c:pt>
                <c:pt idx="2">
                  <c:v>3.4012119888628053E-2</c:v>
                </c:pt>
                <c:pt idx="3">
                  <c:v>2.0759403832505324E-2</c:v>
                </c:pt>
                <c:pt idx="4">
                  <c:v>1.1337868480725623E-2</c:v>
                </c:pt>
                <c:pt idx="5">
                  <c:v>1.1904761904761904E-2</c:v>
                </c:pt>
                <c:pt idx="7">
                  <c:v>0.12598381244766954</c:v>
                </c:pt>
                <c:pt idx="8">
                  <c:v>9.9868247694334653E-2</c:v>
                </c:pt>
                <c:pt idx="9">
                  <c:v>8.2309157001904096E-2</c:v>
                </c:pt>
                <c:pt idx="10">
                  <c:v>4.1768541157294212E-2</c:v>
                </c:pt>
                <c:pt idx="11">
                  <c:v>8.70030785704725E-3</c:v>
                </c:pt>
                <c:pt idx="12">
                  <c:v>1.7205358240137644E-3</c:v>
                </c:pt>
                <c:pt idx="14">
                  <c:v>0.10799319727891156</c:v>
                </c:pt>
                <c:pt idx="15">
                  <c:v>8.9645898700134466E-2</c:v>
                </c:pt>
                <c:pt idx="16">
                  <c:v>8.7238979118329466E-2</c:v>
                </c:pt>
                <c:pt idx="17">
                  <c:v>3.1076066790352505E-2</c:v>
                </c:pt>
                <c:pt idx="18">
                  <c:v>8.7124878993223628E-3</c:v>
                </c:pt>
                <c:pt idx="19">
                  <c:v>2.4489795918367346E-3</c:v>
                </c:pt>
                <c:pt idx="21">
                  <c:v>0.13084112149532709</c:v>
                </c:pt>
                <c:pt idx="22">
                  <c:v>0.11851851851851852</c:v>
                </c:pt>
                <c:pt idx="23">
                  <c:v>7.1933962264150941E-2</c:v>
                </c:pt>
                <c:pt idx="24">
                  <c:v>2.9874213836477988E-2</c:v>
                </c:pt>
                <c:pt idx="25">
                  <c:v>1.9083969465648856E-2</c:v>
                </c:pt>
                <c:pt idx="26">
                  <c:v>3.472222222222222E-3</c:v>
                </c:pt>
                <c:pt idx="28">
                  <c:v>6.0827250608272508E-2</c:v>
                </c:pt>
                <c:pt idx="29">
                  <c:v>5.2854122621564484E-2</c:v>
                </c:pt>
                <c:pt idx="30">
                  <c:v>2.4279210925644917E-2</c:v>
                </c:pt>
                <c:pt idx="31">
                  <c:v>9.883198562443846E-3</c:v>
                </c:pt>
                <c:pt idx="32">
                  <c:v>4.2507970244420826E-3</c:v>
                </c:pt>
                <c:pt idx="33">
                  <c:v>1.750291715285881E-3</c:v>
                </c:pt>
                <c:pt idx="35">
                  <c:v>7.7298616761594788E-2</c:v>
                </c:pt>
                <c:pt idx="36">
                  <c:v>7.9435783221974754E-2</c:v>
                </c:pt>
                <c:pt idx="37">
                  <c:v>5.7706355003652302E-2</c:v>
                </c:pt>
                <c:pt idx="38">
                  <c:v>2.4577572964669739E-2</c:v>
                </c:pt>
                <c:pt idx="39">
                  <c:v>0</c:v>
                </c:pt>
                <c:pt idx="40">
                  <c:v>0</c:v>
                </c:pt>
                <c:pt idx="42">
                  <c:v>0.11620313460356484</c:v>
                </c:pt>
                <c:pt idx="43">
                  <c:v>7.4511400651465803E-2</c:v>
                </c:pt>
                <c:pt idx="44">
                  <c:v>5.4953870838347373E-2</c:v>
                </c:pt>
                <c:pt idx="45">
                  <c:v>3.3913950874939799E-2</c:v>
                </c:pt>
                <c:pt idx="46">
                  <c:v>8.5362304782229115E-3</c:v>
                </c:pt>
                <c:pt idx="47">
                  <c:v>1.8824334730897579E-3</c:v>
                </c:pt>
              </c:numCache>
            </c:numRef>
          </c:val>
        </c:ser>
        <c:ser>
          <c:idx val="2"/>
          <c:order val="2"/>
          <c:tx>
            <c:strRef>
              <c:f>Age!$AG$6</c:f>
              <c:strCache>
                <c:ptCount val="1"/>
                <c:pt idx="0">
                  <c:v>Tumour resection
 and Radiotherapy</c:v>
                </c:pt>
              </c:strCache>
            </c:strRef>
          </c:tx>
          <c:spPr>
            <a:solidFill>
              <a:srgbClr val="80D2A8"/>
            </a:solidFill>
          </c:spPr>
          <c:invertIfNegative val="0"/>
          <c:cat>
            <c:multiLvlStrRef>
              <c:f>Age!$AA$58:$AB$105</c:f>
              <c:multiLvlStrCache>
                <c:ptCount val="48"/>
                <c:lvl>
                  <c:pt idx="0">
                    <c:v>Under 50</c:v>
                  </c:pt>
                  <c:pt idx="1">
                    <c:v>50-59</c:v>
                  </c:pt>
                  <c:pt idx="2">
                    <c:v>60-69</c:v>
                  </c:pt>
                  <c:pt idx="3">
                    <c:v>70-79</c:v>
                  </c:pt>
                  <c:pt idx="4">
                    <c:v>80-84</c:v>
                  </c:pt>
                  <c:pt idx="5">
                    <c:v>85+</c:v>
                  </c:pt>
                  <c:pt idx="7">
                    <c:v>Under 50</c:v>
                  </c:pt>
                  <c:pt idx="8">
                    <c:v>50-59</c:v>
                  </c:pt>
                  <c:pt idx="9">
                    <c:v>60-69</c:v>
                  </c:pt>
                  <c:pt idx="10">
                    <c:v>70-79</c:v>
                  </c:pt>
                  <c:pt idx="11">
                    <c:v>80-84</c:v>
                  </c:pt>
                  <c:pt idx="12">
                    <c:v>85+</c:v>
                  </c:pt>
                  <c:pt idx="14">
                    <c:v>Under 50</c:v>
                  </c:pt>
                  <c:pt idx="15">
                    <c:v>50-59</c:v>
                  </c:pt>
                  <c:pt idx="16">
                    <c:v>60-69</c:v>
                  </c:pt>
                  <c:pt idx="17">
                    <c:v>70-79</c:v>
                  </c:pt>
                  <c:pt idx="18">
                    <c:v>80-84</c:v>
                  </c:pt>
                  <c:pt idx="19">
                    <c:v>85+</c:v>
                  </c:pt>
                  <c:pt idx="21">
                    <c:v>Under 50</c:v>
                  </c:pt>
                  <c:pt idx="22">
                    <c:v>50-59</c:v>
                  </c:pt>
                  <c:pt idx="23">
                    <c:v>60-69</c:v>
                  </c:pt>
                  <c:pt idx="24">
                    <c:v>70-79</c:v>
                  </c:pt>
                  <c:pt idx="25">
                    <c:v>80-84</c:v>
                  </c:pt>
                  <c:pt idx="26">
                    <c:v>85+</c:v>
                  </c:pt>
                  <c:pt idx="28">
                    <c:v>Under 50</c:v>
                  </c:pt>
                  <c:pt idx="29">
                    <c:v>50-59</c:v>
                  </c:pt>
                  <c:pt idx="30">
                    <c:v>60-69</c:v>
                  </c:pt>
                  <c:pt idx="31">
                    <c:v>70-79</c:v>
                  </c:pt>
                  <c:pt idx="32">
                    <c:v>80-84</c:v>
                  </c:pt>
                  <c:pt idx="33">
                    <c:v>85+</c:v>
                  </c:pt>
                  <c:pt idx="35">
                    <c:v>Under 50</c:v>
                  </c:pt>
                  <c:pt idx="36">
                    <c:v>50-59</c:v>
                  </c:pt>
                  <c:pt idx="37">
                    <c:v>60-69</c:v>
                  </c:pt>
                  <c:pt idx="38">
                    <c:v>70-79</c:v>
                  </c:pt>
                  <c:pt idx="39">
                    <c:v>80-84</c:v>
                  </c:pt>
                  <c:pt idx="40">
                    <c:v>85+</c:v>
                  </c:pt>
                  <c:pt idx="42">
                    <c:v>Under 50</c:v>
                  </c:pt>
                  <c:pt idx="43">
                    <c:v>50-59</c:v>
                  </c:pt>
                  <c:pt idx="44">
                    <c:v>60-69</c:v>
                  </c:pt>
                  <c:pt idx="45">
                    <c:v>70-79</c:v>
                  </c:pt>
                  <c:pt idx="46">
                    <c:v>80-84</c:v>
                  </c:pt>
                  <c:pt idx="47">
                    <c:v>85+</c:v>
                  </c:pt>
                </c:lvl>
                <c:lvl>
                  <c:pt idx="0">
                    <c:v>Screen detected</c:v>
                  </c:pt>
                  <c:pt idx="7">
                    <c:v>Two Week Wait</c:v>
                  </c:pt>
                  <c:pt idx="14">
                    <c:v>GP referral</c:v>
                  </c:pt>
                  <c:pt idx="21">
                    <c:v>IP &amp; OP</c:v>
                  </c:pt>
                  <c:pt idx="28">
                    <c:v>Emergency presentation</c:v>
                  </c:pt>
                  <c:pt idx="35">
                    <c:v>Unknown</c:v>
                  </c:pt>
                  <c:pt idx="42">
                    <c:v>All Routes</c:v>
                  </c:pt>
                </c:lvl>
              </c:multiLvlStrCache>
            </c:multiLvlStrRef>
          </c:cat>
          <c:val>
            <c:numRef>
              <c:f>Age!$AG$58:$AG$105</c:f>
              <c:numCache>
                <c:formatCode>0%</c:formatCode>
                <c:ptCount val="48"/>
                <c:pt idx="0">
                  <c:v>0.45954545454545453</c:v>
                </c:pt>
                <c:pt idx="1">
                  <c:v>0.52653863601996065</c:v>
                </c:pt>
                <c:pt idx="2">
                  <c:v>0.62346454113664906</c:v>
                </c:pt>
                <c:pt idx="3">
                  <c:v>0.65134847409510288</c:v>
                </c:pt>
                <c:pt idx="4">
                  <c:v>0.60317460317460314</c:v>
                </c:pt>
                <c:pt idx="5">
                  <c:v>0.30952380952380953</c:v>
                </c:pt>
                <c:pt idx="7">
                  <c:v>0.15394920457716996</c:v>
                </c:pt>
                <c:pt idx="8">
                  <c:v>0.22880983750548967</c:v>
                </c:pt>
                <c:pt idx="9">
                  <c:v>0.31746581270555652</c:v>
                </c:pt>
                <c:pt idx="10">
                  <c:v>0.42250747079597933</c:v>
                </c:pt>
                <c:pt idx="11">
                  <c:v>0.33690269040289117</c:v>
                </c:pt>
                <c:pt idx="12">
                  <c:v>0.12437016099299496</c:v>
                </c:pt>
                <c:pt idx="14">
                  <c:v>0.15731292517006804</c:v>
                </c:pt>
                <c:pt idx="15">
                  <c:v>0.21604661586732407</c:v>
                </c:pt>
                <c:pt idx="16">
                  <c:v>0.27470997679814385</c:v>
                </c:pt>
                <c:pt idx="17">
                  <c:v>0.2857142857142857</c:v>
                </c:pt>
                <c:pt idx="18">
                  <c:v>0.17424975798644723</c:v>
                </c:pt>
                <c:pt idx="19">
                  <c:v>7.0204081632653056E-2</c:v>
                </c:pt>
                <c:pt idx="21">
                  <c:v>0.19092122830440589</c:v>
                </c:pt>
                <c:pt idx="22">
                  <c:v>0.26296296296296295</c:v>
                </c:pt>
                <c:pt idx="23">
                  <c:v>0.32665094339622641</c:v>
                </c:pt>
                <c:pt idx="24">
                  <c:v>0.3191823899371069</c:v>
                </c:pt>
                <c:pt idx="25">
                  <c:v>0.19083969465648856</c:v>
                </c:pt>
                <c:pt idx="26">
                  <c:v>4.8611111111111112E-2</c:v>
                </c:pt>
                <c:pt idx="28">
                  <c:v>6.3260340632603412E-2</c:v>
                </c:pt>
                <c:pt idx="29">
                  <c:v>0.10359408033826638</c:v>
                </c:pt>
                <c:pt idx="30">
                  <c:v>9.7116843702579669E-2</c:v>
                </c:pt>
                <c:pt idx="31">
                  <c:v>8.5354896675651395E-2</c:v>
                </c:pt>
                <c:pt idx="32">
                  <c:v>5.526036131774708E-2</c:v>
                </c:pt>
                <c:pt idx="33">
                  <c:v>1.8086347724620769E-2</c:v>
                </c:pt>
                <c:pt idx="35">
                  <c:v>0.17249796582587471</c:v>
                </c:pt>
                <c:pt idx="36">
                  <c:v>0.25612472160356348</c:v>
                </c:pt>
                <c:pt idx="37">
                  <c:v>0.34477720964207453</c:v>
                </c:pt>
                <c:pt idx="38">
                  <c:v>0.30568356374807987</c:v>
                </c:pt>
                <c:pt idx="39">
                  <c:v>0.17391304347826086</c:v>
                </c:pt>
                <c:pt idx="40">
                  <c:v>3.3472803347280332E-2</c:v>
                </c:pt>
                <c:pt idx="42">
                  <c:v>0.18073909035033806</c:v>
                </c:pt>
                <c:pt idx="43">
                  <c:v>0.36163137893593922</c:v>
                </c:pt>
                <c:pt idx="44">
                  <c:v>0.4725517162340267</c:v>
                </c:pt>
                <c:pt idx="45">
                  <c:v>0.44168405843634612</c:v>
                </c:pt>
                <c:pt idx="46">
                  <c:v>0.3000291007857212</c:v>
                </c:pt>
                <c:pt idx="47">
                  <c:v>0.10071019081030204</c:v>
                </c:pt>
              </c:numCache>
            </c:numRef>
          </c:val>
        </c:ser>
        <c:ser>
          <c:idx val="4"/>
          <c:order val="3"/>
          <c:tx>
            <c:strRef>
              <c:f>Age!$AE$6</c:f>
              <c:strCache>
                <c:ptCount val="1"/>
                <c:pt idx="0">
                  <c:v>Radiotherapy only</c:v>
                </c:pt>
              </c:strCache>
            </c:strRef>
          </c:tx>
          <c:spPr>
            <a:solidFill>
              <a:srgbClr val="00549F"/>
            </a:solidFill>
          </c:spPr>
          <c:invertIfNegative val="0"/>
          <c:cat>
            <c:multiLvlStrRef>
              <c:f>Age!$AA$58:$AB$105</c:f>
              <c:multiLvlStrCache>
                <c:ptCount val="48"/>
                <c:lvl>
                  <c:pt idx="0">
                    <c:v>Under 50</c:v>
                  </c:pt>
                  <c:pt idx="1">
                    <c:v>50-59</c:v>
                  </c:pt>
                  <c:pt idx="2">
                    <c:v>60-69</c:v>
                  </c:pt>
                  <c:pt idx="3">
                    <c:v>70-79</c:v>
                  </c:pt>
                  <c:pt idx="4">
                    <c:v>80-84</c:v>
                  </c:pt>
                  <c:pt idx="5">
                    <c:v>85+</c:v>
                  </c:pt>
                  <c:pt idx="7">
                    <c:v>Under 50</c:v>
                  </c:pt>
                  <c:pt idx="8">
                    <c:v>50-59</c:v>
                  </c:pt>
                  <c:pt idx="9">
                    <c:v>60-69</c:v>
                  </c:pt>
                  <c:pt idx="10">
                    <c:v>70-79</c:v>
                  </c:pt>
                  <c:pt idx="11">
                    <c:v>80-84</c:v>
                  </c:pt>
                  <c:pt idx="12">
                    <c:v>85+</c:v>
                  </c:pt>
                  <c:pt idx="14">
                    <c:v>Under 50</c:v>
                  </c:pt>
                  <c:pt idx="15">
                    <c:v>50-59</c:v>
                  </c:pt>
                  <c:pt idx="16">
                    <c:v>60-69</c:v>
                  </c:pt>
                  <c:pt idx="17">
                    <c:v>70-79</c:v>
                  </c:pt>
                  <c:pt idx="18">
                    <c:v>80-84</c:v>
                  </c:pt>
                  <c:pt idx="19">
                    <c:v>85+</c:v>
                  </c:pt>
                  <c:pt idx="21">
                    <c:v>Under 50</c:v>
                  </c:pt>
                  <c:pt idx="22">
                    <c:v>50-59</c:v>
                  </c:pt>
                  <c:pt idx="23">
                    <c:v>60-69</c:v>
                  </c:pt>
                  <c:pt idx="24">
                    <c:v>70-79</c:v>
                  </c:pt>
                  <c:pt idx="25">
                    <c:v>80-84</c:v>
                  </c:pt>
                  <c:pt idx="26">
                    <c:v>85+</c:v>
                  </c:pt>
                  <c:pt idx="28">
                    <c:v>Under 50</c:v>
                  </c:pt>
                  <c:pt idx="29">
                    <c:v>50-59</c:v>
                  </c:pt>
                  <c:pt idx="30">
                    <c:v>60-69</c:v>
                  </c:pt>
                  <c:pt idx="31">
                    <c:v>70-79</c:v>
                  </c:pt>
                  <c:pt idx="32">
                    <c:v>80-84</c:v>
                  </c:pt>
                  <c:pt idx="33">
                    <c:v>85+</c:v>
                  </c:pt>
                  <c:pt idx="35">
                    <c:v>Under 50</c:v>
                  </c:pt>
                  <c:pt idx="36">
                    <c:v>50-59</c:v>
                  </c:pt>
                  <c:pt idx="37">
                    <c:v>60-69</c:v>
                  </c:pt>
                  <c:pt idx="38">
                    <c:v>70-79</c:v>
                  </c:pt>
                  <c:pt idx="39">
                    <c:v>80-84</c:v>
                  </c:pt>
                  <c:pt idx="40">
                    <c:v>85+</c:v>
                  </c:pt>
                  <c:pt idx="42">
                    <c:v>Under 50</c:v>
                  </c:pt>
                  <c:pt idx="43">
                    <c:v>50-59</c:v>
                  </c:pt>
                  <c:pt idx="44">
                    <c:v>60-69</c:v>
                  </c:pt>
                  <c:pt idx="45">
                    <c:v>70-79</c:v>
                  </c:pt>
                  <c:pt idx="46">
                    <c:v>80-84</c:v>
                  </c:pt>
                  <c:pt idx="47">
                    <c:v>85+</c:v>
                  </c:pt>
                </c:lvl>
                <c:lvl>
                  <c:pt idx="0">
                    <c:v>Screen detected</c:v>
                  </c:pt>
                  <c:pt idx="7">
                    <c:v>Two Week Wait</c:v>
                  </c:pt>
                  <c:pt idx="14">
                    <c:v>GP referral</c:v>
                  </c:pt>
                  <c:pt idx="21">
                    <c:v>IP &amp; OP</c:v>
                  </c:pt>
                  <c:pt idx="28">
                    <c:v>Emergency presentation</c:v>
                  </c:pt>
                  <c:pt idx="35">
                    <c:v>Unknown</c:v>
                  </c:pt>
                  <c:pt idx="42">
                    <c:v>All Routes</c:v>
                  </c:pt>
                </c:lvl>
              </c:multiLvlStrCache>
            </c:multiLvlStrRef>
          </c:cat>
          <c:val>
            <c:numRef>
              <c:f>Age!$AE$58:$AE$105</c:f>
              <c:numCache>
                <c:formatCode>0%</c:formatCode>
                <c:ptCount val="48"/>
                <c:pt idx="0">
                  <c:v>9.5454545454545462E-3</c:v>
                </c:pt>
                <c:pt idx="1">
                  <c:v>1.2021775291093301E-2</c:v>
                </c:pt>
                <c:pt idx="2">
                  <c:v>8.0799257520336298E-3</c:v>
                </c:pt>
                <c:pt idx="3">
                  <c:v>7.9843860894251249E-3</c:v>
                </c:pt>
                <c:pt idx="4">
                  <c:v>9.0702947845804991E-3</c:v>
                </c:pt>
                <c:pt idx="5">
                  <c:v>0</c:v>
                </c:pt>
                <c:pt idx="7">
                  <c:v>3.1816913201228019E-3</c:v>
                </c:pt>
                <c:pt idx="8">
                  <c:v>5.3579270970575315E-3</c:v>
                </c:pt>
                <c:pt idx="9">
                  <c:v>7.5298597888177254E-3</c:v>
                </c:pt>
                <c:pt idx="10">
                  <c:v>1.5281173594132029E-2</c:v>
                </c:pt>
                <c:pt idx="11">
                  <c:v>1.9542229955829205E-2</c:v>
                </c:pt>
                <c:pt idx="12">
                  <c:v>2.4210396952193684E-2</c:v>
                </c:pt>
                <c:pt idx="14">
                  <c:v>4.5634920634920632E-2</c:v>
                </c:pt>
                <c:pt idx="15">
                  <c:v>4.5719408337068577E-2</c:v>
                </c:pt>
                <c:pt idx="16">
                  <c:v>4.3619489559164733E-2</c:v>
                </c:pt>
                <c:pt idx="17">
                  <c:v>5.9369202226345084E-2</c:v>
                </c:pt>
                <c:pt idx="18">
                  <c:v>7.2604065827686345E-2</c:v>
                </c:pt>
                <c:pt idx="19">
                  <c:v>4.7346938775510203E-2</c:v>
                </c:pt>
                <c:pt idx="21">
                  <c:v>2.9372496662216287E-2</c:v>
                </c:pt>
                <c:pt idx="22">
                  <c:v>1.9753086419753086E-2</c:v>
                </c:pt>
                <c:pt idx="23">
                  <c:v>3.1839622641509434E-2</c:v>
                </c:pt>
                <c:pt idx="24">
                  <c:v>5.5031446540880505E-2</c:v>
                </c:pt>
                <c:pt idx="25">
                  <c:v>4.1984732824427481E-2</c:v>
                </c:pt>
                <c:pt idx="26">
                  <c:v>4.8611111111111112E-2</c:v>
                </c:pt>
                <c:pt idx="28">
                  <c:v>5.5961070559610707E-2</c:v>
                </c:pt>
                <c:pt idx="29">
                  <c:v>8.0338266384778007E-2</c:v>
                </c:pt>
                <c:pt idx="30">
                  <c:v>0.13353566009104703</c:v>
                </c:pt>
                <c:pt idx="31">
                  <c:v>0.11949685534591195</c:v>
                </c:pt>
                <c:pt idx="32">
                  <c:v>7.7577045696068006E-2</c:v>
                </c:pt>
                <c:pt idx="33">
                  <c:v>4.7841306884480746E-2</c:v>
                </c:pt>
                <c:pt idx="35">
                  <c:v>6.9975589910496336E-2</c:v>
                </c:pt>
                <c:pt idx="36">
                  <c:v>4.4543429844097995E-2</c:v>
                </c:pt>
                <c:pt idx="37">
                  <c:v>4.3097151205259317E-2</c:v>
                </c:pt>
                <c:pt idx="38">
                  <c:v>6.6052227342549924E-2</c:v>
                </c:pt>
                <c:pt idx="39">
                  <c:v>4.9689440993788817E-2</c:v>
                </c:pt>
                <c:pt idx="40">
                  <c:v>2.5104602510460251E-2</c:v>
                </c:pt>
                <c:pt idx="42">
                  <c:v>1.4213275968039335E-2</c:v>
                </c:pt>
                <c:pt idx="43">
                  <c:v>1.4793702497285559E-2</c:v>
                </c:pt>
                <c:pt idx="44">
                  <c:v>1.4411781559796E-2</c:v>
                </c:pt>
                <c:pt idx="45">
                  <c:v>2.4442125541820518E-2</c:v>
                </c:pt>
                <c:pt idx="46">
                  <c:v>3.0749830245416627E-2</c:v>
                </c:pt>
                <c:pt idx="47">
                  <c:v>3.0546761358774707E-2</c:v>
                </c:pt>
              </c:numCache>
            </c:numRef>
          </c:val>
        </c:ser>
        <c:ser>
          <c:idx val="3"/>
          <c:order val="4"/>
          <c:tx>
            <c:strRef>
              <c:f>Age!$AD$6</c:f>
              <c:strCache>
                <c:ptCount val="1"/>
                <c:pt idx="0">
                  <c:v>Chemotherapy only</c:v>
                </c:pt>
              </c:strCache>
            </c:strRef>
          </c:tx>
          <c:spPr>
            <a:solidFill>
              <a:srgbClr val="E9994A"/>
            </a:solidFill>
          </c:spPr>
          <c:invertIfNegative val="0"/>
          <c:cat>
            <c:multiLvlStrRef>
              <c:f>Age!$AA$58:$AB$105</c:f>
              <c:multiLvlStrCache>
                <c:ptCount val="48"/>
                <c:lvl>
                  <c:pt idx="0">
                    <c:v>Under 50</c:v>
                  </c:pt>
                  <c:pt idx="1">
                    <c:v>50-59</c:v>
                  </c:pt>
                  <c:pt idx="2">
                    <c:v>60-69</c:v>
                  </c:pt>
                  <c:pt idx="3">
                    <c:v>70-79</c:v>
                  </c:pt>
                  <c:pt idx="4">
                    <c:v>80-84</c:v>
                  </c:pt>
                  <c:pt idx="5">
                    <c:v>85+</c:v>
                  </c:pt>
                  <c:pt idx="7">
                    <c:v>Under 50</c:v>
                  </c:pt>
                  <c:pt idx="8">
                    <c:v>50-59</c:v>
                  </c:pt>
                  <c:pt idx="9">
                    <c:v>60-69</c:v>
                  </c:pt>
                  <c:pt idx="10">
                    <c:v>70-79</c:v>
                  </c:pt>
                  <c:pt idx="11">
                    <c:v>80-84</c:v>
                  </c:pt>
                  <c:pt idx="12">
                    <c:v>85+</c:v>
                  </c:pt>
                  <c:pt idx="14">
                    <c:v>Under 50</c:v>
                  </c:pt>
                  <c:pt idx="15">
                    <c:v>50-59</c:v>
                  </c:pt>
                  <c:pt idx="16">
                    <c:v>60-69</c:v>
                  </c:pt>
                  <c:pt idx="17">
                    <c:v>70-79</c:v>
                  </c:pt>
                  <c:pt idx="18">
                    <c:v>80-84</c:v>
                  </c:pt>
                  <c:pt idx="19">
                    <c:v>85+</c:v>
                  </c:pt>
                  <c:pt idx="21">
                    <c:v>Under 50</c:v>
                  </c:pt>
                  <c:pt idx="22">
                    <c:v>50-59</c:v>
                  </c:pt>
                  <c:pt idx="23">
                    <c:v>60-69</c:v>
                  </c:pt>
                  <c:pt idx="24">
                    <c:v>70-79</c:v>
                  </c:pt>
                  <c:pt idx="25">
                    <c:v>80-84</c:v>
                  </c:pt>
                  <c:pt idx="26">
                    <c:v>85+</c:v>
                  </c:pt>
                  <c:pt idx="28">
                    <c:v>Under 50</c:v>
                  </c:pt>
                  <c:pt idx="29">
                    <c:v>50-59</c:v>
                  </c:pt>
                  <c:pt idx="30">
                    <c:v>60-69</c:v>
                  </c:pt>
                  <c:pt idx="31">
                    <c:v>70-79</c:v>
                  </c:pt>
                  <c:pt idx="32">
                    <c:v>80-84</c:v>
                  </c:pt>
                  <c:pt idx="33">
                    <c:v>85+</c:v>
                  </c:pt>
                  <c:pt idx="35">
                    <c:v>Under 50</c:v>
                  </c:pt>
                  <c:pt idx="36">
                    <c:v>50-59</c:v>
                  </c:pt>
                  <c:pt idx="37">
                    <c:v>60-69</c:v>
                  </c:pt>
                  <c:pt idx="38">
                    <c:v>70-79</c:v>
                  </c:pt>
                  <c:pt idx="39">
                    <c:v>80-84</c:v>
                  </c:pt>
                  <c:pt idx="40">
                    <c:v>85+</c:v>
                  </c:pt>
                  <c:pt idx="42">
                    <c:v>Under 50</c:v>
                  </c:pt>
                  <c:pt idx="43">
                    <c:v>50-59</c:v>
                  </c:pt>
                  <c:pt idx="44">
                    <c:v>60-69</c:v>
                  </c:pt>
                  <c:pt idx="45">
                    <c:v>70-79</c:v>
                  </c:pt>
                  <c:pt idx="46">
                    <c:v>80-84</c:v>
                  </c:pt>
                  <c:pt idx="47">
                    <c:v>85+</c:v>
                  </c:pt>
                </c:lvl>
                <c:lvl>
                  <c:pt idx="0">
                    <c:v>Screen detected</c:v>
                  </c:pt>
                  <c:pt idx="7">
                    <c:v>Two Week Wait</c:v>
                  </c:pt>
                  <c:pt idx="14">
                    <c:v>GP referral</c:v>
                  </c:pt>
                  <c:pt idx="21">
                    <c:v>IP &amp; OP</c:v>
                  </c:pt>
                  <c:pt idx="28">
                    <c:v>Emergency presentation</c:v>
                  </c:pt>
                  <c:pt idx="35">
                    <c:v>Unknown</c:v>
                  </c:pt>
                  <c:pt idx="42">
                    <c:v>All Routes</c:v>
                  </c:pt>
                </c:lvl>
              </c:multiLvlStrCache>
            </c:multiLvlStrRef>
          </c:cat>
          <c:val>
            <c:numRef>
              <c:f>Age!$AD$58:$AD$105</c:f>
              <c:numCache>
                <c:formatCode>0%</c:formatCode>
                <c:ptCount val="48"/>
                <c:pt idx="0">
                  <c:v>5.909090909090909E-3</c:v>
                </c:pt>
                <c:pt idx="1">
                  <c:v>3.8560411311053984E-3</c:v>
                </c:pt>
                <c:pt idx="2">
                  <c:v>2.7842987388764537E-3</c:v>
                </c:pt>
                <c:pt idx="3">
                  <c:v>1.9517388218594747E-3</c:v>
                </c:pt>
                <c:pt idx="4">
                  <c:v>0</c:v>
                </c:pt>
                <c:pt idx="5">
                  <c:v>0</c:v>
                </c:pt>
                <c:pt idx="7">
                  <c:v>1.5126988557075076E-2</c:v>
                </c:pt>
                <c:pt idx="8">
                  <c:v>1.9587176108915239E-2</c:v>
                </c:pt>
                <c:pt idx="9">
                  <c:v>2.1204777566210836E-2</c:v>
                </c:pt>
                <c:pt idx="10">
                  <c:v>1.8676989948383592E-2</c:v>
                </c:pt>
                <c:pt idx="11">
                  <c:v>1.4723597911926114E-2</c:v>
                </c:pt>
                <c:pt idx="12">
                  <c:v>9.8316332800786523E-3</c:v>
                </c:pt>
                <c:pt idx="14">
                  <c:v>3.4580498866213151E-2</c:v>
                </c:pt>
                <c:pt idx="15">
                  <c:v>4.1237113402061855E-2</c:v>
                </c:pt>
                <c:pt idx="16">
                  <c:v>4.6403712296983757E-2</c:v>
                </c:pt>
                <c:pt idx="17">
                  <c:v>3.8497217068645638E-2</c:v>
                </c:pt>
                <c:pt idx="18">
                  <c:v>3.0009680542110357E-2</c:v>
                </c:pt>
                <c:pt idx="19">
                  <c:v>1.4693877551020407E-2</c:v>
                </c:pt>
                <c:pt idx="21">
                  <c:v>5.0734312416555405E-2</c:v>
                </c:pt>
                <c:pt idx="22">
                  <c:v>4.5679012345679011E-2</c:v>
                </c:pt>
                <c:pt idx="23">
                  <c:v>5.5424528301886794E-2</c:v>
                </c:pt>
                <c:pt idx="24">
                  <c:v>5.1886792452830191E-2</c:v>
                </c:pt>
                <c:pt idx="25">
                  <c:v>4.9618320610687022E-2</c:v>
                </c:pt>
                <c:pt idx="26">
                  <c:v>2.0833333333333332E-2</c:v>
                </c:pt>
                <c:pt idx="28">
                  <c:v>0.16058394160583941</c:v>
                </c:pt>
                <c:pt idx="29">
                  <c:v>0.1226215644820296</c:v>
                </c:pt>
                <c:pt idx="30">
                  <c:v>9.8634294385432475E-2</c:v>
                </c:pt>
                <c:pt idx="31">
                  <c:v>5.8400718778077267E-2</c:v>
                </c:pt>
                <c:pt idx="32">
                  <c:v>1.9128586609989374E-2</c:v>
                </c:pt>
                <c:pt idx="33">
                  <c:v>6.4177362893815633E-3</c:v>
                </c:pt>
                <c:pt idx="35">
                  <c:v>3.4174125305126118E-2</c:v>
                </c:pt>
                <c:pt idx="36">
                  <c:v>2.7468448403860431E-2</c:v>
                </c:pt>
                <c:pt idx="37">
                  <c:v>1.9722425127830533E-2</c:v>
                </c:pt>
                <c:pt idx="38">
                  <c:v>1.3824884792626729E-2</c:v>
                </c:pt>
                <c:pt idx="39">
                  <c:v>6.2111801242236021E-3</c:v>
                </c:pt>
                <c:pt idx="40">
                  <c:v>8.368200836820083E-3</c:v>
                </c:pt>
                <c:pt idx="42">
                  <c:v>2.1204671173939767E-2</c:v>
                </c:pt>
                <c:pt idx="43">
                  <c:v>1.6897394136807818E-2</c:v>
                </c:pt>
                <c:pt idx="44">
                  <c:v>1.532863446220847E-2</c:v>
                </c:pt>
                <c:pt idx="45">
                  <c:v>1.9104190078664311E-2</c:v>
                </c:pt>
                <c:pt idx="46">
                  <c:v>1.6781453099233679E-2</c:v>
                </c:pt>
                <c:pt idx="47">
                  <c:v>1.0011123470522803E-2</c:v>
                </c:pt>
              </c:numCache>
            </c:numRef>
          </c:val>
        </c:ser>
        <c:ser>
          <c:idx val="5"/>
          <c:order val="5"/>
          <c:tx>
            <c:strRef>
              <c:f>Age!$AH$6</c:f>
              <c:strCache>
                <c:ptCount val="1"/>
                <c:pt idx="0">
                  <c:v>Chemotherapy and Radiotherapy</c:v>
                </c:pt>
              </c:strCache>
            </c:strRef>
          </c:tx>
          <c:spPr>
            <a:solidFill>
              <a:srgbClr val="A0C5D0"/>
            </a:solidFill>
          </c:spPr>
          <c:invertIfNegative val="0"/>
          <c:cat>
            <c:multiLvlStrRef>
              <c:f>Age!$AA$58:$AB$105</c:f>
              <c:multiLvlStrCache>
                <c:ptCount val="48"/>
                <c:lvl>
                  <c:pt idx="0">
                    <c:v>Under 50</c:v>
                  </c:pt>
                  <c:pt idx="1">
                    <c:v>50-59</c:v>
                  </c:pt>
                  <c:pt idx="2">
                    <c:v>60-69</c:v>
                  </c:pt>
                  <c:pt idx="3">
                    <c:v>70-79</c:v>
                  </c:pt>
                  <c:pt idx="4">
                    <c:v>80-84</c:v>
                  </c:pt>
                  <c:pt idx="5">
                    <c:v>85+</c:v>
                  </c:pt>
                  <c:pt idx="7">
                    <c:v>Under 50</c:v>
                  </c:pt>
                  <c:pt idx="8">
                    <c:v>50-59</c:v>
                  </c:pt>
                  <c:pt idx="9">
                    <c:v>60-69</c:v>
                  </c:pt>
                  <c:pt idx="10">
                    <c:v>70-79</c:v>
                  </c:pt>
                  <c:pt idx="11">
                    <c:v>80-84</c:v>
                  </c:pt>
                  <c:pt idx="12">
                    <c:v>85+</c:v>
                  </c:pt>
                  <c:pt idx="14">
                    <c:v>Under 50</c:v>
                  </c:pt>
                  <c:pt idx="15">
                    <c:v>50-59</c:v>
                  </c:pt>
                  <c:pt idx="16">
                    <c:v>60-69</c:v>
                  </c:pt>
                  <c:pt idx="17">
                    <c:v>70-79</c:v>
                  </c:pt>
                  <c:pt idx="18">
                    <c:v>80-84</c:v>
                  </c:pt>
                  <c:pt idx="19">
                    <c:v>85+</c:v>
                  </c:pt>
                  <c:pt idx="21">
                    <c:v>Under 50</c:v>
                  </c:pt>
                  <c:pt idx="22">
                    <c:v>50-59</c:v>
                  </c:pt>
                  <c:pt idx="23">
                    <c:v>60-69</c:v>
                  </c:pt>
                  <c:pt idx="24">
                    <c:v>70-79</c:v>
                  </c:pt>
                  <c:pt idx="25">
                    <c:v>80-84</c:v>
                  </c:pt>
                  <c:pt idx="26">
                    <c:v>85+</c:v>
                  </c:pt>
                  <c:pt idx="28">
                    <c:v>Under 50</c:v>
                  </c:pt>
                  <c:pt idx="29">
                    <c:v>50-59</c:v>
                  </c:pt>
                  <c:pt idx="30">
                    <c:v>60-69</c:v>
                  </c:pt>
                  <c:pt idx="31">
                    <c:v>70-79</c:v>
                  </c:pt>
                  <c:pt idx="32">
                    <c:v>80-84</c:v>
                  </c:pt>
                  <c:pt idx="33">
                    <c:v>85+</c:v>
                  </c:pt>
                  <c:pt idx="35">
                    <c:v>Under 50</c:v>
                  </c:pt>
                  <c:pt idx="36">
                    <c:v>50-59</c:v>
                  </c:pt>
                  <c:pt idx="37">
                    <c:v>60-69</c:v>
                  </c:pt>
                  <c:pt idx="38">
                    <c:v>70-79</c:v>
                  </c:pt>
                  <c:pt idx="39">
                    <c:v>80-84</c:v>
                  </c:pt>
                  <c:pt idx="40">
                    <c:v>85+</c:v>
                  </c:pt>
                  <c:pt idx="42">
                    <c:v>Under 50</c:v>
                  </c:pt>
                  <c:pt idx="43">
                    <c:v>50-59</c:v>
                  </c:pt>
                  <c:pt idx="44">
                    <c:v>60-69</c:v>
                  </c:pt>
                  <c:pt idx="45">
                    <c:v>70-79</c:v>
                  </c:pt>
                  <c:pt idx="46">
                    <c:v>80-84</c:v>
                  </c:pt>
                  <c:pt idx="47">
                    <c:v>85+</c:v>
                  </c:pt>
                </c:lvl>
                <c:lvl>
                  <c:pt idx="0">
                    <c:v>Screen detected</c:v>
                  </c:pt>
                  <c:pt idx="7">
                    <c:v>Two Week Wait</c:v>
                  </c:pt>
                  <c:pt idx="14">
                    <c:v>GP referral</c:v>
                  </c:pt>
                  <c:pt idx="21">
                    <c:v>IP &amp; OP</c:v>
                  </c:pt>
                  <c:pt idx="28">
                    <c:v>Emergency presentation</c:v>
                  </c:pt>
                  <c:pt idx="35">
                    <c:v>Unknown</c:v>
                  </c:pt>
                  <c:pt idx="42">
                    <c:v>All Routes</c:v>
                  </c:pt>
                </c:lvl>
              </c:multiLvlStrCache>
            </c:multiLvlStrRef>
          </c:cat>
          <c:val>
            <c:numRef>
              <c:f>Age!$AH$58:$AH$105</c:f>
              <c:numCache>
                <c:formatCode>0%</c:formatCode>
                <c:ptCount val="48"/>
                <c:pt idx="0">
                  <c:v>4.0909090909090912E-3</c:v>
                </c:pt>
                <c:pt idx="1">
                  <c:v>4.7633449266596102E-3</c:v>
                </c:pt>
                <c:pt idx="2">
                  <c:v>3.5486160397444995E-3</c:v>
                </c:pt>
                <c:pt idx="3">
                  <c:v>1.4194464158977999E-3</c:v>
                </c:pt>
                <c:pt idx="4">
                  <c:v>0</c:v>
                </c:pt>
                <c:pt idx="5">
                  <c:v>0</c:v>
                </c:pt>
                <c:pt idx="7">
                  <c:v>1.4010605637733743E-2</c:v>
                </c:pt>
                <c:pt idx="8">
                  <c:v>1.6952129995608255E-2</c:v>
                </c:pt>
                <c:pt idx="9">
                  <c:v>1.4194218452483988E-2</c:v>
                </c:pt>
                <c:pt idx="10">
                  <c:v>9.5082857919043737E-3</c:v>
                </c:pt>
                <c:pt idx="11">
                  <c:v>4.5509302636862533E-3</c:v>
                </c:pt>
                <c:pt idx="12">
                  <c:v>2.212117488017697E-3</c:v>
                </c:pt>
                <c:pt idx="14">
                  <c:v>4.1666666666666664E-2</c:v>
                </c:pt>
                <c:pt idx="15">
                  <c:v>3.7651277454056477E-2</c:v>
                </c:pt>
                <c:pt idx="16">
                  <c:v>3.8979118329466357E-2</c:v>
                </c:pt>
                <c:pt idx="17">
                  <c:v>2.7829313543599257E-2</c:v>
                </c:pt>
                <c:pt idx="18">
                  <c:v>1.2584704743465635E-2</c:v>
                </c:pt>
                <c:pt idx="19">
                  <c:v>2.4489795918367346E-3</c:v>
                </c:pt>
                <c:pt idx="21">
                  <c:v>6.1415220293724967E-2</c:v>
                </c:pt>
                <c:pt idx="22">
                  <c:v>4.0740740740740744E-2</c:v>
                </c:pt>
                <c:pt idx="23">
                  <c:v>2.8301886792452831E-2</c:v>
                </c:pt>
                <c:pt idx="24">
                  <c:v>2.20125786163522E-2</c:v>
                </c:pt>
                <c:pt idx="25">
                  <c:v>1.1450381679389313E-2</c:v>
                </c:pt>
                <c:pt idx="26">
                  <c:v>3.472222222222222E-3</c:v>
                </c:pt>
                <c:pt idx="28">
                  <c:v>0.15085158150851583</c:v>
                </c:pt>
                <c:pt idx="29">
                  <c:v>0.10993657505285412</c:v>
                </c:pt>
                <c:pt idx="30">
                  <c:v>6.3732928679817905E-2</c:v>
                </c:pt>
                <c:pt idx="31">
                  <c:v>4.3126684636118601E-2</c:v>
                </c:pt>
                <c:pt idx="32">
                  <c:v>2.2316684378320937E-2</c:v>
                </c:pt>
                <c:pt idx="33">
                  <c:v>3.5005834305717621E-3</c:v>
                </c:pt>
                <c:pt idx="35">
                  <c:v>4.0683482506102521E-2</c:v>
                </c:pt>
                <c:pt idx="36">
                  <c:v>3.4892353377876766E-2</c:v>
                </c:pt>
                <c:pt idx="37">
                  <c:v>2.483564645726808E-2</c:v>
                </c:pt>
                <c:pt idx="38">
                  <c:v>1.5360983102918587E-2</c:v>
                </c:pt>
                <c:pt idx="39">
                  <c:v>0</c:v>
                </c:pt>
                <c:pt idx="40">
                  <c:v>0</c:v>
                </c:pt>
                <c:pt idx="42">
                  <c:v>2.1704056545789798E-2</c:v>
                </c:pt>
                <c:pt idx="43">
                  <c:v>1.6015200868621064E-2</c:v>
                </c:pt>
                <c:pt idx="44">
                  <c:v>1.1833132771760931E-2</c:v>
                </c:pt>
                <c:pt idx="45">
                  <c:v>1.1237758869802536E-2</c:v>
                </c:pt>
                <c:pt idx="46">
                  <c:v>6.8871859540207588E-3</c:v>
                </c:pt>
                <c:pt idx="47">
                  <c:v>2.3958244202960553E-3</c:v>
                </c:pt>
              </c:numCache>
            </c:numRef>
          </c:val>
        </c:ser>
        <c:ser>
          <c:idx val="6"/>
          <c:order val="6"/>
          <c:tx>
            <c:strRef>
              <c:f>Age!$AJ$6</c:f>
              <c:strCache>
                <c:ptCount val="1"/>
                <c:pt idx="0">
                  <c:v>Resection, Chemotherapy and Radiotherapy</c:v>
                </c:pt>
              </c:strCache>
            </c:strRef>
          </c:tx>
          <c:spPr>
            <a:solidFill>
              <a:schemeClr val="accent5">
                <a:lumMod val="75000"/>
              </a:schemeClr>
            </a:solidFill>
          </c:spPr>
          <c:invertIfNegative val="0"/>
          <c:cat>
            <c:multiLvlStrRef>
              <c:f>Age!$AA$58:$AB$105</c:f>
              <c:multiLvlStrCache>
                <c:ptCount val="48"/>
                <c:lvl>
                  <c:pt idx="0">
                    <c:v>Under 50</c:v>
                  </c:pt>
                  <c:pt idx="1">
                    <c:v>50-59</c:v>
                  </c:pt>
                  <c:pt idx="2">
                    <c:v>60-69</c:v>
                  </c:pt>
                  <c:pt idx="3">
                    <c:v>70-79</c:v>
                  </c:pt>
                  <c:pt idx="4">
                    <c:v>80-84</c:v>
                  </c:pt>
                  <c:pt idx="5">
                    <c:v>85+</c:v>
                  </c:pt>
                  <c:pt idx="7">
                    <c:v>Under 50</c:v>
                  </c:pt>
                  <c:pt idx="8">
                    <c:v>50-59</c:v>
                  </c:pt>
                  <c:pt idx="9">
                    <c:v>60-69</c:v>
                  </c:pt>
                  <c:pt idx="10">
                    <c:v>70-79</c:v>
                  </c:pt>
                  <c:pt idx="11">
                    <c:v>80-84</c:v>
                  </c:pt>
                  <c:pt idx="12">
                    <c:v>85+</c:v>
                  </c:pt>
                  <c:pt idx="14">
                    <c:v>Under 50</c:v>
                  </c:pt>
                  <c:pt idx="15">
                    <c:v>50-59</c:v>
                  </c:pt>
                  <c:pt idx="16">
                    <c:v>60-69</c:v>
                  </c:pt>
                  <c:pt idx="17">
                    <c:v>70-79</c:v>
                  </c:pt>
                  <c:pt idx="18">
                    <c:v>80-84</c:v>
                  </c:pt>
                  <c:pt idx="19">
                    <c:v>85+</c:v>
                  </c:pt>
                  <c:pt idx="21">
                    <c:v>Under 50</c:v>
                  </c:pt>
                  <c:pt idx="22">
                    <c:v>50-59</c:v>
                  </c:pt>
                  <c:pt idx="23">
                    <c:v>60-69</c:v>
                  </c:pt>
                  <c:pt idx="24">
                    <c:v>70-79</c:v>
                  </c:pt>
                  <c:pt idx="25">
                    <c:v>80-84</c:v>
                  </c:pt>
                  <c:pt idx="26">
                    <c:v>85+</c:v>
                  </c:pt>
                  <c:pt idx="28">
                    <c:v>Under 50</c:v>
                  </c:pt>
                  <c:pt idx="29">
                    <c:v>50-59</c:v>
                  </c:pt>
                  <c:pt idx="30">
                    <c:v>60-69</c:v>
                  </c:pt>
                  <c:pt idx="31">
                    <c:v>70-79</c:v>
                  </c:pt>
                  <c:pt idx="32">
                    <c:v>80-84</c:v>
                  </c:pt>
                  <c:pt idx="33">
                    <c:v>85+</c:v>
                  </c:pt>
                  <c:pt idx="35">
                    <c:v>Under 50</c:v>
                  </c:pt>
                  <c:pt idx="36">
                    <c:v>50-59</c:v>
                  </c:pt>
                  <c:pt idx="37">
                    <c:v>60-69</c:v>
                  </c:pt>
                  <c:pt idx="38">
                    <c:v>70-79</c:v>
                  </c:pt>
                  <c:pt idx="39">
                    <c:v>80-84</c:v>
                  </c:pt>
                  <c:pt idx="40">
                    <c:v>85+</c:v>
                  </c:pt>
                  <c:pt idx="42">
                    <c:v>Under 50</c:v>
                  </c:pt>
                  <c:pt idx="43">
                    <c:v>50-59</c:v>
                  </c:pt>
                  <c:pt idx="44">
                    <c:v>60-69</c:v>
                  </c:pt>
                  <c:pt idx="45">
                    <c:v>70-79</c:v>
                  </c:pt>
                  <c:pt idx="46">
                    <c:v>80-84</c:v>
                  </c:pt>
                  <c:pt idx="47">
                    <c:v>85+</c:v>
                  </c:pt>
                </c:lvl>
                <c:lvl>
                  <c:pt idx="0">
                    <c:v>Screen detected</c:v>
                  </c:pt>
                  <c:pt idx="7">
                    <c:v>Two Week Wait</c:v>
                  </c:pt>
                  <c:pt idx="14">
                    <c:v>GP referral</c:v>
                  </c:pt>
                  <c:pt idx="21">
                    <c:v>IP &amp; OP</c:v>
                  </c:pt>
                  <c:pt idx="28">
                    <c:v>Emergency presentation</c:v>
                  </c:pt>
                  <c:pt idx="35">
                    <c:v>Unknown</c:v>
                  </c:pt>
                  <c:pt idx="42">
                    <c:v>All Routes</c:v>
                  </c:pt>
                </c:lvl>
              </c:multiLvlStrCache>
            </c:multiLvlStrRef>
          </c:cat>
          <c:val>
            <c:numRef>
              <c:f>Age!$AJ$58:$AJ$105</c:f>
              <c:numCache>
                <c:formatCode>0%</c:formatCode>
                <c:ptCount val="48"/>
                <c:pt idx="0">
                  <c:v>0.28999999999999998</c:v>
                </c:pt>
                <c:pt idx="1">
                  <c:v>0.25616210494480568</c:v>
                </c:pt>
                <c:pt idx="2">
                  <c:v>0.17087951083692746</c:v>
                </c:pt>
                <c:pt idx="3">
                  <c:v>9.4748048261178136E-2</c:v>
                </c:pt>
                <c:pt idx="4">
                  <c:v>2.2675736961451247E-2</c:v>
                </c:pt>
                <c:pt idx="5">
                  <c:v>0</c:v>
                </c:pt>
                <c:pt idx="7">
                  <c:v>0.60669829751604798</c:v>
                </c:pt>
                <c:pt idx="8">
                  <c:v>0.52507685551163807</c:v>
                </c:pt>
                <c:pt idx="9">
                  <c:v>0.37519473775315909</c:v>
                </c:pt>
                <c:pt idx="10">
                  <c:v>0.13820972561803857</c:v>
                </c:pt>
                <c:pt idx="11">
                  <c:v>2.0880738856913397E-2</c:v>
                </c:pt>
                <c:pt idx="12">
                  <c:v>3.9326533120314609E-3</c:v>
                </c:pt>
                <c:pt idx="14">
                  <c:v>0.29818594104308388</c:v>
                </c:pt>
                <c:pt idx="15">
                  <c:v>0.23890632003585835</c:v>
                </c:pt>
                <c:pt idx="16">
                  <c:v>0.16473317865429235</c:v>
                </c:pt>
                <c:pt idx="17">
                  <c:v>7.3747680890538028E-2</c:v>
                </c:pt>
                <c:pt idx="18">
                  <c:v>1.1616650532429816E-2</c:v>
                </c:pt>
                <c:pt idx="19">
                  <c:v>2.4489795918367346E-3</c:v>
                </c:pt>
                <c:pt idx="21">
                  <c:v>0.22296395193591456</c:v>
                </c:pt>
                <c:pt idx="22">
                  <c:v>0.19876543209876543</c:v>
                </c:pt>
                <c:pt idx="23">
                  <c:v>0.15330188679245282</c:v>
                </c:pt>
                <c:pt idx="24">
                  <c:v>6.6037735849056603E-2</c:v>
                </c:pt>
                <c:pt idx="25">
                  <c:v>1.9083969465648856E-2</c:v>
                </c:pt>
                <c:pt idx="26">
                  <c:v>3.472222222222222E-3</c:v>
                </c:pt>
                <c:pt idx="28">
                  <c:v>0.25060827250608275</c:v>
                </c:pt>
                <c:pt idx="29">
                  <c:v>0.17124735729386892</c:v>
                </c:pt>
                <c:pt idx="30">
                  <c:v>9.2564491654021239E-2</c:v>
                </c:pt>
                <c:pt idx="31">
                  <c:v>2.2461814914645103E-2</c:v>
                </c:pt>
                <c:pt idx="32">
                  <c:v>3.188097768331562E-3</c:v>
                </c:pt>
                <c:pt idx="33">
                  <c:v>0</c:v>
                </c:pt>
                <c:pt idx="35">
                  <c:v>0.16680227827502034</c:v>
                </c:pt>
                <c:pt idx="36">
                  <c:v>0.18411284335560504</c:v>
                </c:pt>
                <c:pt idx="37">
                  <c:v>0.15704894083272461</c:v>
                </c:pt>
                <c:pt idx="38">
                  <c:v>6.9124423963133647E-2</c:v>
                </c:pt>
                <c:pt idx="39">
                  <c:v>1.2422360248447204E-2</c:v>
                </c:pt>
                <c:pt idx="40">
                  <c:v>0</c:v>
                </c:pt>
                <c:pt idx="42">
                  <c:v>0.5006914566687154</c:v>
                </c:pt>
                <c:pt idx="43">
                  <c:v>0.35250407166123776</c:v>
                </c:pt>
                <c:pt idx="44">
                  <c:v>0.23568849922640536</c:v>
                </c:pt>
                <c:pt idx="45">
                  <c:v>0.11398298282228288</c:v>
                </c:pt>
                <c:pt idx="46">
                  <c:v>1.8236492385294404E-2</c:v>
                </c:pt>
                <c:pt idx="47">
                  <c:v>3.0803456832377858E-3</c:v>
                </c:pt>
              </c:numCache>
            </c:numRef>
          </c:val>
        </c:ser>
        <c:ser>
          <c:idx val="7"/>
          <c:order val="7"/>
          <c:tx>
            <c:strRef>
              <c:f>Age!$AI$6</c:f>
              <c:strCache>
                <c:ptCount val="1"/>
                <c:pt idx="0">
                  <c:v>Other care</c:v>
                </c:pt>
              </c:strCache>
            </c:strRef>
          </c:tx>
          <c:spPr>
            <a:solidFill>
              <a:schemeClr val="tx1">
                <a:lumMod val="65000"/>
                <a:lumOff val="35000"/>
              </a:schemeClr>
            </a:solidFill>
          </c:spPr>
          <c:invertIfNegative val="0"/>
          <c:cat>
            <c:multiLvlStrRef>
              <c:f>Age!$AA$58:$AB$105</c:f>
              <c:multiLvlStrCache>
                <c:ptCount val="48"/>
                <c:lvl>
                  <c:pt idx="0">
                    <c:v>Under 50</c:v>
                  </c:pt>
                  <c:pt idx="1">
                    <c:v>50-59</c:v>
                  </c:pt>
                  <c:pt idx="2">
                    <c:v>60-69</c:v>
                  </c:pt>
                  <c:pt idx="3">
                    <c:v>70-79</c:v>
                  </c:pt>
                  <c:pt idx="4">
                    <c:v>80-84</c:v>
                  </c:pt>
                  <c:pt idx="5">
                    <c:v>85+</c:v>
                  </c:pt>
                  <c:pt idx="7">
                    <c:v>Under 50</c:v>
                  </c:pt>
                  <c:pt idx="8">
                    <c:v>50-59</c:v>
                  </c:pt>
                  <c:pt idx="9">
                    <c:v>60-69</c:v>
                  </c:pt>
                  <c:pt idx="10">
                    <c:v>70-79</c:v>
                  </c:pt>
                  <c:pt idx="11">
                    <c:v>80-84</c:v>
                  </c:pt>
                  <c:pt idx="12">
                    <c:v>85+</c:v>
                  </c:pt>
                  <c:pt idx="14">
                    <c:v>Under 50</c:v>
                  </c:pt>
                  <c:pt idx="15">
                    <c:v>50-59</c:v>
                  </c:pt>
                  <c:pt idx="16">
                    <c:v>60-69</c:v>
                  </c:pt>
                  <c:pt idx="17">
                    <c:v>70-79</c:v>
                  </c:pt>
                  <c:pt idx="18">
                    <c:v>80-84</c:v>
                  </c:pt>
                  <c:pt idx="19">
                    <c:v>85+</c:v>
                  </c:pt>
                  <c:pt idx="21">
                    <c:v>Under 50</c:v>
                  </c:pt>
                  <c:pt idx="22">
                    <c:v>50-59</c:v>
                  </c:pt>
                  <c:pt idx="23">
                    <c:v>60-69</c:v>
                  </c:pt>
                  <c:pt idx="24">
                    <c:v>70-79</c:v>
                  </c:pt>
                  <c:pt idx="25">
                    <c:v>80-84</c:v>
                  </c:pt>
                  <c:pt idx="26">
                    <c:v>85+</c:v>
                  </c:pt>
                  <c:pt idx="28">
                    <c:v>Under 50</c:v>
                  </c:pt>
                  <c:pt idx="29">
                    <c:v>50-59</c:v>
                  </c:pt>
                  <c:pt idx="30">
                    <c:v>60-69</c:v>
                  </c:pt>
                  <c:pt idx="31">
                    <c:v>70-79</c:v>
                  </c:pt>
                  <c:pt idx="32">
                    <c:v>80-84</c:v>
                  </c:pt>
                  <c:pt idx="33">
                    <c:v>85+</c:v>
                  </c:pt>
                  <c:pt idx="35">
                    <c:v>Under 50</c:v>
                  </c:pt>
                  <c:pt idx="36">
                    <c:v>50-59</c:v>
                  </c:pt>
                  <c:pt idx="37">
                    <c:v>60-69</c:v>
                  </c:pt>
                  <c:pt idx="38">
                    <c:v>70-79</c:v>
                  </c:pt>
                  <c:pt idx="39">
                    <c:v>80-84</c:v>
                  </c:pt>
                  <c:pt idx="40">
                    <c:v>85+</c:v>
                  </c:pt>
                  <c:pt idx="42">
                    <c:v>Under 50</c:v>
                  </c:pt>
                  <c:pt idx="43">
                    <c:v>50-59</c:v>
                  </c:pt>
                  <c:pt idx="44">
                    <c:v>60-69</c:v>
                  </c:pt>
                  <c:pt idx="45">
                    <c:v>70-79</c:v>
                  </c:pt>
                  <c:pt idx="46">
                    <c:v>80-84</c:v>
                  </c:pt>
                  <c:pt idx="47">
                    <c:v>85+</c:v>
                  </c:pt>
                </c:lvl>
                <c:lvl>
                  <c:pt idx="0">
                    <c:v>Screen detected</c:v>
                  </c:pt>
                  <c:pt idx="7">
                    <c:v>Two Week Wait</c:v>
                  </c:pt>
                  <c:pt idx="14">
                    <c:v>GP referral</c:v>
                  </c:pt>
                  <c:pt idx="21">
                    <c:v>IP &amp; OP</c:v>
                  </c:pt>
                  <c:pt idx="28">
                    <c:v>Emergency presentation</c:v>
                  </c:pt>
                  <c:pt idx="35">
                    <c:v>Unknown</c:v>
                  </c:pt>
                  <c:pt idx="42">
                    <c:v>All Routes</c:v>
                  </c:pt>
                </c:lvl>
              </c:multiLvlStrCache>
            </c:multiLvlStrRef>
          </c:cat>
          <c:val>
            <c:numRef>
              <c:f>Age!$AI$58:$AI$105</c:f>
              <c:numCache>
                <c:formatCode>0%</c:formatCode>
                <c:ptCount val="48"/>
                <c:pt idx="0">
                  <c:v>1.9090909090909092E-2</c:v>
                </c:pt>
                <c:pt idx="1">
                  <c:v>2.003629215182217E-2</c:v>
                </c:pt>
                <c:pt idx="2">
                  <c:v>1.9271714800458591E-2</c:v>
                </c:pt>
                <c:pt idx="3">
                  <c:v>2.6082327892122073E-2</c:v>
                </c:pt>
                <c:pt idx="4">
                  <c:v>7.2562358276643993E-2</c:v>
                </c:pt>
                <c:pt idx="5">
                  <c:v>0.34523809523809523</c:v>
                </c:pt>
                <c:pt idx="7">
                  <c:v>5.8051911805749373E-3</c:v>
                </c:pt>
                <c:pt idx="8">
                  <c:v>1.5458937198067632E-2</c:v>
                </c:pt>
                <c:pt idx="9">
                  <c:v>3.9380301194391551E-2</c:v>
                </c:pt>
                <c:pt idx="10">
                  <c:v>0.12428687856560718</c:v>
                </c:pt>
                <c:pt idx="11">
                  <c:v>0.32940704055681969</c:v>
                </c:pt>
                <c:pt idx="12">
                  <c:v>0.64704436524517639</c:v>
                </c:pt>
                <c:pt idx="14">
                  <c:v>0.13038548752834467</c:v>
                </c:pt>
                <c:pt idx="15">
                  <c:v>0.1214701927386822</c:v>
                </c:pt>
                <c:pt idx="16">
                  <c:v>0.12389791183294664</c:v>
                </c:pt>
                <c:pt idx="17">
                  <c:v>0.22170686456400743</c:v>
                </c:pt>
                <c:pt idx="18">
                  <c:v>0.44143272023233299</c:v>
                </c:pt>
                <c:pt idx="19">
                  <c:v>0.70857142857142852</c:v>
                </c:pt>
                <c:pt idx="21">
                  <c:v>8.2777036048064079E-2</c:v>
                </c:pt>
                <c:pt idx="22">
                  <c:v>7.5308641975308649E-2</c:v>
                </c:pt>
                <c:pt idx="23">
                  <c:v>0.10259433962264151</c:v>
                </c:pt>
                <c:pt idx="24">
                  <c:v>0.19811320754716982</c:v>
                </c:pt>
                <c:pt idx="25">
                  <c:v>0.43129770992366412</c:v>
                </c:pt>
                <c:pt idx="26">
                  <c:v>0.72222222222222221</c:v>
                </c:pt>
                <c:pt idx="28">
                  <c:v>0.170316301703163</c:v>
                </c:pt>
                <c:pt idx="29">
                  <c:v>0.29175475687103591</c:v>
                </c:pt>
                <c:pt idx="30">
                  <c:v>0.38694992412746587</c:v>
                </c:pt>
                <c:pt idx="31">
                  <c:v>0.56424079065588495</c:v>
                </c:pt>
                <c:pt idx="32">
                  <c:v>0.73645058448459089</c:v>
                </c:pt>
                <c:pt idx="33">
                  <c:v>0.8856476079346558</c:v>
                </c:pt>
                <c:pt idx="35">
                  <c:v>0.15134255492270138</c:v>
                </c:pt>
                <c:pt idx="36">
                  <c:v>0.13066072754268745</c:v>
                </c:pt>
                <c:pt idx="37">
                  <c:v>0.10226442658875091</c:v>
                </c:pt>
                <c:pt idx="38">
                  <c:v>0.2119815668202765</c:v>
                </c:pt>
                <c:pt idx="39">
                  <c:v>0.49689440993788819</c:v>
                </c:pt>
                <c:pt idx="40">
                  <c:v>0.82845188284518834</c:v>
                </c:pt>
                <c:pt idx="42">
                  <c:v>3.5494775660725258E-2</c:v>
                </c:pt>
                <c:pt idx="43">
                  <c:v>3.6882464712269275E-2</c:v>
                </c:pt>
                <c:pt idx="44">
                  <c:v>4.4610624033006703E-2</c:v>
                </c:pt>
                <c:pt idx="45">
                  <c:v>0.13433135334724675</c:v>
                </c:pt>
                <c:pt idx="46">
                  <c:v>0.37200504413619168</c:v>
                </c:pt>
                <c:pt idx="47">
                  <c:v>0.69187986651835376</c:v>
                </c:pt>
              </c:numCache>
            </c:numRef>
          </c:val>
        </c:ser>
        <c:dLbls>
          <c:showLegendKey val="0"/>
          <c:showVal val="0"/>
          <c:showCatName val="0"/>
          <c:showSerName val="0"/>
          <c:showPercent val="0"/>
          <c:showBubbleSize val="0"/>
        </c:dLbls>
        <c:gapWidth val="95"/>
        <c:overlap val="100"/>
        <c:axId val="125797504"/>
        <c:axId val="125799424"/>
      </c:barChart>
      <c:catAx>
        <c:axId val="125797504"/>
        <c:scaling>
          <c:orientation val="minMax"/>
        </c:scaling>
        <c:delete val="0"/>
        <c:axPos val="b"/>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i="0" baseline="0">
                    <a:effectLst/>
                  </a:rPr>
                  <a:t>Age and </a:t>
                </a:r>
                <a:r>
                  <a:rPr lang="en-GB" sz="1200"/>
                  <a:t>Route to Diagnosis </a:t>
                </a:r>
              </a:p>
            </c:rich>
          </c:tx>
          <c:overlay val="0"/>
        </c:title>
        <c:numFmt formatCode="General" sourceLinked="1"/>
        <c:majorTickMark val="out"/>
        <c:minorTickMark val="none"/>
        <c:tickLblPos val="nextTo"/>
        <c:txPr>
          <a:bodyPr rot="-5400000" vert="horz"/>
          <a:lstStyle/>
          <a:p>
            <a:pPr>
              <a:defRPr/>
            </a:pPr>
            <a:endParaRPr lang="en-US"/>
          </a:p>
        </c:txPr>
        <c:crossAx val="125799424"/>
        <c:crosses val="autoZero"/>
        <c:auto val="1"/>
        <c:lblAlgn val="ctr"/>
        <c:lblOffset val="100"/>
        <c:noMultiLvlLbl val="0"/>
      </c:catAx>
      <c:valAx>
        <c:axId val="125799424"/>
        <c:scaling>
          <c:orientation val="minMax"/>
          <c:max val="1"/>
        </c:scaling>
        <c:delete val="0"/>
        <c:axPos val="l"/>
        <c:majorGridlines>
          <c:spPr>
            <a:ln>
              <a:solidFill>
                <a:schemeClr val="bg1"/>
              </a:solidFill>
            </a:ln>
          </c:spPr>
        </c:majorGridlines>
        <c:title>
          <c:tx>
            <c:rich>
              <a:bodyPr rot="-5400000" vert="horz"/>
              <a:lstStyle/>
              <a:p>
                <a:pPr>
                  <a:defRPr/>
                </a:pPr>
                <a:r>
                  <a:rPr lang="en-GB"/>
                  <a:t>Percentage by treatment modality</a:t>
                </a:r>
              </a:p>
            </c:rich>
          </c:tx>
          <c:layout>
            <c:manualLayout>
              <c:xMode val="edge"/>
              <c:yMode val="edge"/>
              <c:x val="2.3280015198412427E-2"/>
              <c:y val="0.21561480676984346"/>
            </c:manualLayout>
          </c:layout>
          <c:overlay val="0"/>
        </c:title>
        <c:numFmt formatCode="0%" sourceLinked="1"/>
        <c:majorTickMark val="out"/>
        <c:minorTickMark val="none"/>
        <c:tickLblPos val="nextTo"/>
        <c:crossAx val="125797504"/>
        <c:crosses val="autoZero"/>
        <c:crossBetween val="between"/>
      </c:valAx>
      <c:spPr>
        <a:solidFill>
          <a:schemeClr val="bg1">
            <a:lumMod val="85000"/>
          </a:schemeClr>
        </a:solidFill>
      </c:spPr>
    </c:plotArea>
    <c:legend>
      <c:legendPos val="r"/>
      <c:layout>
        <c:manualLayout>
          <c:xMode val="edge"/>
          <c:yMode val="edge"/>
          <c:x val="0.70846027131535794"/>
          <c:y val="0.11655145286675678"/>
          <c:w val="0.19256377952755904"/>
          <c:h val="0.50971273418408902"/>
        </c:manualLayout>
      </c:layout>
      <c:overlay val="0"/>
    </c:legend>
    <c:plotVisOnly val="1"/>
    <c:dispBlanksAs val="gap"/>
    <c:showDLblsOverMax val="0"/>
  </c:chart>
  <c:spPr>
    <a:solidFill>
      <a:srgbClr val="CCE3F1"/>
    </a:solidFill>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Lookups!$H$6</c:f>
          <c:strCache>
            <c:ptCount val="1"/>
            <c:pt idx="0">
              <c:v>Treatment type by Route and stage, 2013-2015, Breast, England</c:v>
            </c:pt>
          </c:strCache>
        </c:strRef>
      </c:tx>
      <c:layout>
        <c:manualLayout>
          <c:xMode val="edge"/>
          <c:yMode val="edge"/>
          <c:x val="0.12853027916964924"/>
          <c:y val="1.4097856949827675E-2"/>
        </c:manualLayout>
      </c:layout>
      <c:overlay val="0"/>
      <c:txPr>
        <a:bodyPr/>
        <a:lstStyle/>
        <a:p>
          <a:pPr>
            <a:defRPr/>
          </a:pPr>
          <a:endParaRPr lang="en-US"/>
        </a:p>
      </c:txPr>
    </c:title>
    <c:autoTitleDeleted val="0"/>
    <c:plotArea>
      <c:layout>
        <c:manualLayout>
          <c:layoutTarget val="inner"/>
          <c:xMode val="edge"/>
          <c:yMode val="edge"/>
          <c:x val="8.341732283464566E-2"/>
          <c:y val="6.221151014659753E-2"/>
          <c:w val="0.62007835838701986"/>
          <c:h val="0.587105039657977"/>
        </c:manualLayout>
      </c:layout>
      <c:barChart>
        <c:barDir val="col"/>
        <c:grouping val="stacked"/>
        <c:varyColors val="0"/>
        <c:ser>
          <c:idx val="0"/>
          <c:order val="0"/>
          <c:tx>
            <c:strRef>
              <c:f>Stage!$AC$6</c:f>
              <c:strCache>
                <c:ptCount val="1"/>
                <c:pt idx="0">
                  <c:v>Tumour resection only</c:v>
                </c:pt>
              </c:strCache>
            </c:strRef>
          </c:tx>
          <c:spPr>
            <a:solidFill>
              <a:srgbClr val="00B092"/>
            </a:solidFill>
          </c:spPr>
          <c:invertIfNegative val="0"/>
          <c:cat>
            <c:multiLvlStrRef>
              <c:f>Stage!$AA$7:$AB$29</c:f>
              <c:multiLvlStrCache>
                <c:ptCount val="23"/>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lvl>
                <c:lvl>
                  <c:pt idx="0">
                    <c:v>Early</c:v>
                  </c:pt>
                  <c:pt idx="8">
                    <c:v>Late</c:v>
                  </c:pt>
                  <c:pt idx="16">
                    <c:v>Unknown</c:v>
                  </c:pt>
                </c:lvl>
              </c:multiLvlStrCache>
            </c:multiLvlStrRef>
          </c:cat>
          <c:val>
            <c:numRef>
              <c:f>Stage!$AC$7:$AC$29</c:f>
              <c:numCache>
                <c:formatCode>0%</c:formatCode>
                <c:ptCount val="23"/>
                <c:pt idx="0">
                  <c:v>0.14896632210736913</c:v>
                </c:pt>
                <c:pt idx="1">
                  <c:v>0.18110538120890285</c:v>
                </c:pt>
                <c:pt idx="2">
                  <c:v>0.25929738772358768</c:v>
                </c:pt>
                <c:pt idx="3">
                  <c:v>0.29363001745200701</c:v>
                </c:pt>
                <c:pt idx="4">
                  <c:v>0.17190506735086594</c:v>
                </c:pt>
                <c:pt idx="5">
                  <c:v>0.30302096177558568</c:v>
                </c:pt>
                <c:pt idx="6">
                  <c:v>0.18197967325781181</c:v>
                </c:pt>
                <c:pt idx="8">
                  <c:v>3.8975501113585748E-2</c:v>
                </c:pt>
                <c:pt idx="9">
                  <c:v>4.7486761003559336E-2</c:v>
                </c:pt>
                <c:pt idx="10">
                  <c:v>6.5809768637532129E-2</c:v>
                </c:pt>
                <c:pt idx="11">
                  <c:v>3.8391224862888484E-2</c:v>
                </c:pt>
                <c:pt idx="12">
                  <c:v>2.2644927536231884E-2</c:v>
                </c:pt>
                <c:pt idx="13">
                  <c:v>0.11353711790393013</c:v>
                </c:pt>
                <c:pt idx="14">
                  <c:v>4.6987495263357333E-2</c:v>
                </c:pt>
                <c:pt idx="16">
                  <c:v>0.16650943396226414</c:v>
                </c:pt>
                <c:pt idx="17">
                  <c:v>0.11980277185501066</c:v>
                </c:pt>
                <c:pt idx="18">
                  <c:v>0.17496171516079634</c:v>
                </c:pt>
                <c:pt idx="19">
                  <c:v>0.18037135278514588</c:v>
                </c:pt>
                <c:pt idx="20">
                  <c:v>4.2746113989637305E-2</c:v>
                </c:pt>
                <c:pt idx="21">
                  <c:v>0.1901081916537867</c:v>
                </c:pt>
                <c:pt idx="22">
                  <c:v>0.13627748294162245</c:v>
                </c:pt>
              </c:numCache>
            </c:numRef>
          </c:val>
        </c:ser>
        <c:ser>
          <c:idx val="1"/>
          <c:order val="1"/>
          <c:tx>
            <c:strRef>
              <c:f>Stage!$AF$6</c:f>
              <c:strCache>
                <c:ptCount val="1"/>
                <c:pt idx="0">
                  <c:v>Tumour resection
 and Chemotherapy</c:v>
                </c:pt>
              </c:strCache>
            </c:strRef>
          </c:tx>
          <c:spPr>
            <a:solidFill>
              <a:srgbClr val="007E39"/>
            </a:solidFill>
          </c:spPr>
          <c:invertIfNegative val="0"/>
          <c:cat>
            <c:multiLvlStrRef>
              <c:f>Stage!$AA$7:$AB$29</c:f>
              <c:multiLvlStrCache>
                <c:ptCount val="23"/>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lvl>
                <c:lvl>
                  <c:pt idx="0">
                    <c:v>Early</c:v>
                  </c:pt>
                  <c:pt idx="8">
                    <c:v>Late</c:v>
                  </c:pt>
                  <c:pt idx="16">
                    <c:v>Unknown</c:v>
                  </c:pt>
                </c:lvl>
              </c:multiLvlStrCache>
            </c:multiLvlStrRef>
          </c:cat>
          <c:val>
            <c:numRef>
              <c:f>Stage!$AF$7:$AF$29</c:f>
              <c:numCache>
                <c:formatCode>0%</c:formatCode>
                <c:ptCount val="23"/>
                <c:pt idx="0">
                  <c:v>3.6790041124819386E-2</c:v>
                </c:pt>
                <c:pt idx="1">
                  <c:v>7.7947970783888959E-2</c:v>
                </c:pt>
                <c:pt idx="2">
                  <c:v>8.21001158152104E-2</c:v>
                </c:pt>
                <c:pt idx="3">
                  <c:v>9.293193717277487E-2</c:v>
                </c:pt>
                <c:pt idx="4">
                  <c:v>3.784477228992944E-2</c:v>
                </c:pt>
                <c:pt idx="5">
                  <c:v>6.5659679408138105E-2</c:v>
                </c:pt>
                <c:pt idx="6">
                  <c:v>6.322257491481989E-2</c:v>
                </c:pt>
                <c:pt idx="8">
                  <c:v>7.5723830734966593E-2</c:v>
                </c:pt>
                <c:pt idx="9">
                  <c:v>5.6688948693462977E-2</c:v>
                </c:pt>
                <c:pt idx="10">
                  <c:v>5.2956298200514139E-2</c:v>
                </c:pt>
                <c:pt idx="11">
                  <c:v>6.0329067641681902E-2</c:v>
                </c:pt>
                <c:pt idx="12">
                  <c:v>8.605072463768116E-3</c:v>
                </c:pt>
                <c:pt idx="13">
                  <c:v>5.8951965065502182E-2</c:v>
                </c:pt>
                <c:pt idx="14">
                  <c:v>5.256320034645158E-2</c:v>
                </c:pt>
                <c:pt idx="16">
                  <c:v>4.0566037735849055E-2</c:v>
                </c:pt>
                <c:pt idx="17">
                  <c:v>4.2643923240938165E-2</c:v>
                </c:pt>
                <c:pt idx="18">
                  <c:v>4.0964777947932622E-2</c:v>
                </c:pt>
                <c:pt idx="19">
                  <c:v>4.5092838196286469E-2</c:v>
                </c:pt>
                <c:pt idx="20">
                  <c:v>3.8860103626943004E-3</c:v>
                </c:pt>
                <c:pt idx="21">
                  <c:v>4.4049459041731069E-2</c:v>
                </c:pt>
                <c:pt idx="22">
                  <c:v>3.8539297447561287E-2</c:v>
                </c:pt>
              </c:numCache>
            </c:numRef>
          </c:val>
        </c:ser>
        <c:ser>
          <c:idx val="2"/>
          <c:order val="2"/>
          <c:tx>
            <c:strRef>
              <c:f>Stage!$AG$6</c:f>
              <c:strCache>
                <c:ptCount val="1"/>
                <c:pt idx="0">
                  <c:v>Tumour resection
 and Radiotherapy</c:v>
                </c:pt>
              </c:strCache>
            </c:strRef>
          </c:tx>
          <c:spPr>
            <a:solidFill>
              <a:srgbClr val="80D2A8"/>
            </a:solidFill>
          </c:spPr>
          <c:invertIfNegative val="0"/>
          <c:cat>
            <c:multiLvlStrRef>
              <c:f>Stage!$AA$7:$AB$29</c:f>
              <c:multiLvlStrCache>
                <c:ptCount val="23"/>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lvl>
                <c:lvl>
                  <c:pt idx="0">
                    <c:v>Early</c:v>
                  </c:pt>
                  <c:pt idx="8">
                    <c:v>Late</c:v>
                  </c:pt>
                  <c:pt idx="16">
                    <c:v>Unknown</c:v>
                  </c:pt>
                </c:lvl>
              </c:multiLvlStrCache>
            </c:multiLvlStrRef>
          </c:cat>
          <c:val>
            <c:numRef>
              <c:f>Stage!$AG$7:$AG$29</c:f>
              <c:numCache>
                <c:formatCode>0%</c:formatCode>
                <c:ptCount val="23"/>
                <c:pt idx="0">
                  <c:v>0.62443036567744803</c:v>
                </c:pt>
                <c:pt idx="1">
                  <c:v>0.31430324176140179</c:v>
                </c:pt>
                <c:pt idx="2">
                  <c:v>0.27319521297130356</c:v>
                </c:pt>
                <c:pt idx="3">
                  <c:v>0.33769633507853403</c:v>
                </c:pt>
                <c:pt idx="4">
                  <c:v>0.15394483643361129</c:v>
                </c:pt>
                <c:pt idx="5">
                  <c:v>0.344019728729963</c:v>
                </c:pt>
                <c:pt idx="6">
                  <c:v>0.41857169205082656</c:v>
                </c:pt>
                <c:pt idx="8">
                  <c:v>0.11971046770601336</c:v>
                </c:pt>
                <c:pt idx="9">
                  <c:v>0.13169545967531904</c:v>
                </c:pt>
                <c:pt idx="10">
                  <c:v>8.0205655526992284E-2</c:v>
                </c:pt>
                <c:pt idx="11">
                  <c:v>8.957952468007313E-2</c:v>
                </c:pt>
                <c:pt idx="12">
                  <c:v>2.5362318840579712E-2</c:v>
                </c:pt>
                <c:pt idx="13">
                  <c:v>8.7336244541484712E-2</c:v>
                </c:pt>
                <c:pt idx="14">
                  <c:v>0.11005250906728739</c:v>
                </c:pt>
                <c:pt idx="16">
                  <c:v>0.31650943396226416</c:v>
                </c:pt>
                <c:pt idx="17">
                  <c:v>0.11580490405117271</c:v>
                </c:pt>
                <c:pt idx="18">
                  <c:v>8.8820826952526799E-2</c:v>
                </c:pt>
                <c:pt idx="19">
                  <c:v>0.10212201591511937</c:v>
                </c:pt>
                <c:pt idx="20">
                  <c:v>1.3601036269430052E-2</c:v>
                </c:pt>
                <c:pt idx="21">
                  <c:v>8.3462132921174659E-2</c:v>
                </c:pt>
                <c:pt idx="22">
                  <c:v>0.12496841041192823</c:v>
                </c:pt>
              </c:numCache>
            </c:numRef>
          </c:val>
        </c:ser>
        <c:ser>
          <c:idx val="4"/>
          <c:order val="3"/>
          <c:tx>
            <c:strRef>
              <c:f>Stage!$AE$6</c:f>
              <c:strCache>
                <c:ptCount val="1"/>
                <c:pt idx="0">
                  <c:v>Radiotherapy only</c:v>
                </c:pt>
              </c:strCache>
            </c:strRef>
          </c:tx>
          <c:spPr>
            <a:solidFill>
              <a:srgbClr val="00549F"/>
            </a:solidFill>
          </c:spPr>
          <c:invertIfNegative val="0"/>
          <c:cat>
            <c:multiLvlStrRef>
              <c:f>Stage!$AA$7:$AB$29</c:f>
              <c:multiLvlStrCache>
                <c:ptCount val="23"/>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lvl>
                <c:lvl>
                  <c:pt idx="0">
                    <c:v>Early</c:v>
                  </c:pt>
                  <c:pt idx="8">
                    <c:v>Late</c:v>
                  </c:pt>
                  <c:pt idx="16">
                    <c:v>Unknown</c:v>
                  </c:pt>
                </c:lvl>
              </c:multiLvlStrCache>
            </c:multiLvlStrRef>
          </c:cat>
          <c:val>
            <c:numRef>
              <c:f>Stage!$AE$7:$AE$29</c:f>
              <c:numCache>
                <c:formatCode>0%</c:formatCode>
                <c:ptCount val="23"/>
                <c:pt idx="0">
                  <c:v>8.1138157163498942E-3</c:v>
                </c:pt>
                <c:pt idx="1">
                  <c:v>5.2527653700899105E-3</c:v>
                </c:pt>
                <c:pt idx="2">
                  <c:v>3.2428258911337021E-2</c:v>
                </c:pt>
                <c:pt idx="3">
                  <c:v>2.006980802792321E-2</c:v>
                </c:pt>
                <c:pt idx="4">
                  <c:v>1.731879409878127E-2</c:v>
                </c:pt>
                <c:pt idx="5">
                  <c:v>4.3464858199753389E-2</c:v>
                </c:pt>
                <c:pt idx="6">
                  <c:v>1.00177640583593E-2</c:v>
                </c:pt>
                <c:pt idx="8">
                  <c:v>8.9086859688195987E-3</c:v>
                </c:pt>
                <c:pt idx="9">
                  <c:v>3.1773591457591802E-2</c:v>
                </c:pt>
                <c:pt idx="10">
                  <c:v>9.8200514138817474E-2</c:v>
                </c:pt>
                <c:pt idx="11">
                  <c:v>8.226691042047532E-2</c:v>
                </c:pt>
                <c:pt idx="12">
                  <c:v>0.15670289855072464</c:v>
                </c:pt>
                <c:pt idx="13">
                  <c:v>4.8034934497816595E-2</c:v>
                </c:pt>
                <c:pt idx="14">
                  <c:v>5.3375196232339092E-2</c:v>
                </c:pt>
                <c:pt idx="16">
                  <c:v>3.2547169811320754E-2</c:v>
                </c:pt>
                <c:pt idx="17">
                  <c:v>1.7723880597014924E-2</c:v>
                </c:pt>
                <c:pt idx="18">
                  <c:v>6.6998468606431855E-2</c:v>
                </c:pt>
                <c:pt idx="19">
                  <c:v>4.5092838196286469E-2</c:v>
                </c:pt>
                <c:pt idx="20">
                  <c:v>4.145077720207254E-2</c:v>
                </c:pt>
                <c:pt idx="21">
                  <c:v>7.6506955177743433E-2</c:v>
                </c:pt>
                <c:pt idx="22">
                  <c:v>3.626484710639373E-2</c:v>
                </c:pt>
              </c:numCache>
            </c:numRef>
          </c:val>
        </c:ser>
        <c:ser>
          <c:idx val="3"/>
          <c:order val="4"/>
          <c:tx>
            <c:strRef>
              <c:f>Stage!$AD$6</c:f>
              <c:strCache>
                <c:ptCount val="1"/>
                <c:pt idx="0">
                  <c:v>Chemotherapy only</c:v>
                </c:pt>
              </c:strCache>
            </c:strRef>
          </c:tx>
          <c:spPr>
            <a:solidFill>
              <a:srgbClr val="E9994A"/>
            </a:solidFill>
          </c:spPr>
          <c:invertIfNegative val="0"/>
          <c:cat>
            <c:multiLvlStrRef>
              <c:f>Stage!$AA$7:$AB$29</c:f>
              <c:multiLvlStrCache>
                <c:ptCount val="23"/>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lvl>
                <c:lvl>
                  <c:pt idx="0">
                    <c:v>Early</c:v>
                  </c:pt>
                  <c:pt idx="8">
                    <c:v>Late</c:v>
                  </c:pt>
                  <c:pt idx="16">
                    <c:v>Unknown</c:v>
                  </c:pt>
                </c:lvl>
              </c:multiLvlStrCache>
            </c:multiLvlStrRef>
          </c:cat>
          <c:val>
            <c:numRef>
              <c:f>Stage!$AD$7:$AD$29</c:f>
              <c:numCache>
                <c:formatCode>0%</c:formatCode>
                <c:ptCount val="23"/>
                <c:pt idx="0">
                  <c:v>1.0281204846059797E-3</c:v>
                </c:pt>
                <c:pt idx="1">
                  <c:v>4.4284262791633913E-3</c:v>
                </c:pt>
                <c:pt idx="2">
                  <c:v>1.1581521039763223E-2</c:v>
                </c:pt>
                <c:pt idx="3">
                  <c:v>1.0907504363001745E-2</c:v>
                </c:pt>
                <c:pt idx="4">
                  <c:v>1.3470173187940988E-2</c:v>
                </c:pt>
                <c:pt idx="5">
                  <c:v>1.1405672009864365E-2</c:v>
                </c:pt>
                <c:pt idx="6">
                  <c:v>4.2808468505198174E-3</c:v>
                </c:pt>
                <c:pt idx="8">
                  <c:v>3.7305122494432075E-2</c:v>
                </c:pt>
                <c:pt idx="9">
                  <c:v>7.0231790954075876E-2</c:v>
                </c:pt>
                <c:pt idx="10">
                  <c:v>0.11876606683804627</c:v>
                </c:pt>
                <c:pt idx="11">
                  <c:v>0.15356489945155394</c:v>
                </c:pt>
                <c:pt idx="12">
                  <c:v>0.10461956521739131</c:v>
                </c:pt>
                <c:pt idx="13">
                  <c:v>0.10262008733624454</c:v>
                </c:pt>
                <c:pt idx="14">
                  <c:v>7.9521463757916966E-2</c:v>
                </c:pt>
                <c:pt idx="16">
                  <c:v>1.0377358490566037E-2</c:v>
                </c:pt>
                <c:pt idx="17">
                  <c:v>2.1855010660980809E-2</c:v>
                </c:pt>
                <c:pt idx="18">
                  <c:v>4.7856049004594184E-2</c:v>
                </c:pt>
                <c:pt idx="19">
                  <c:v>8.6206896551724144E-2</c:v>
                </c:pt>
                <c:pt idx="20">
                  <c:v>2.0077720207253884E-2</c:v>
                </c:pt>
                <c:pt idx="21">
                  <c:v>2.6275115919629059E-2</c:v>
                </c:pt>
                <c:pt idx="22">
                  <c:v>2.7862016679302503E-2</c:v>
                </c:pt>
              </c:numCache>
            </c:numRef>
          </c:val>
        </c:ser>
        <c:ser>
          <c:idx val="5"/>
          <c:order val="5"/>
          <c:tx>
            <c:strRef>
              <c:f>Stage!$AH$6</c:f>
              <c:strCache>
                <c:ptCount val="1"/>
                <c:pt idx="0">
                  <c:v>Chemotherapy and Radiotherapy</c:v>
                </c:pt>
              </c:strCache>
            </c:strRef>
          </c:tx>
          <c:spPr>
            <a:solidFill>
              <a:srgbClr val="A0C5D0"/>
            </a:solidFill>
          </c:spPr>
          <c:invertIfNegative val="0"/>
          <c:cat>
            <c:multiLvlStrRef>
              <c:f>Stage!$AA$7:$AB$29</c:f>
              <c:multiLvlStrCache>
                <c:ptCount val="23"/>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lvl>
                <c:lvl>
                  <c:pt idx="0">
                    <c:v>Early</c:v>
                  </c:pt>
                  <c:pt idx="8">
                    <c:v>Late</c:v>
                  </c:pt>
                  <c:pt idx="16">
                    <c:v>Unknown</c:v>
                  </c:pt>
                </c:lvl>
              </c:multiLvlStrCache>
            </c:multiLvlStrRef>
          </c:cat>
          <c:val>
            <c:numRef>
              <c:f>Stage!$AH$7:$AH$29</c:f>
              <c:numCache>
                <c:formatCode>0%</c:formatCode>
                <c:ptCount val="23"/>
                <c:pt idx="0">
                  <c:v>2.5008336112037344E-3</c:v>
                </c:pt>
                <c:pt idx="1">
                  <c:v>5.0610586047581622E-3</c:v>
                </c:pt>
                <c:pt idx="2">
                  <c:v>1.5956762321451552E-2</c:v>
                </c:pt>
                <c:pt idx="3">
                  <c:v>1.1343804537521814E-2</c:v>
                </c:pt>
                <c:pt idx="4">
                  <c:v>7.0558050032071837E-3</c:v>
                </c:pt>
                <c:pt idx="5">
                  <c:v>1.8495684340320593E-2</c:v>
                </c:pt>
                <c:pt idx="6">
                  <c:v>5.5816030363920518E-3</c:v>
                </c:pt>
                <c:pt idx="8">
                  <c:v>2.0044543429844099E-2</c:v>
                </c:pt>
                <c:pt idx="9">
                  <c:v>3.7242816216685473E-2</c:v>
                </c:pt>
                <c:pt idx="10">
                  <c:v>8.5347043701799491E-2</c:v>
                </c:pt>
                <c:pt idx="11">
                  <c:v>0.10786106032906764</c:v>
                </c:pt>
                <c:pt idx="12">
                  <c:v>8.9221014492753617E-2</c:v>
                </c:pt>
                <c:pt idx="13">
                  <c:v>7.8602620087336247E-2</c:v>
                </c:pt>
                <c:pt idx="14">
                  <c:v>4.9964813511611542E-2</c:v>
                </c:pt>
                <c:pt idx="16">
                  <c:v>8.962264150943396E-3</c:v>
                </c:pt>
                <c:pt idx="17">
                  <c:v>1.42590618336887E-2</c:v>
                </c:pt>
                <c:pt idx="18">
                  <c:v>3.8667687595712097E-2</c:v>
                </c:pt>
                <c:pt idx="19">
                  <c:v>4.7745358090185673E-2</c:v>
                </c:pt>
                <c:pt idx="20">
                  <c:v>1.4896373056994818E-2</c:v>
                </c:pt>
                <c:pt idx="21">
                  <c:v>3.4775888717156103E-2</c:v>
                </c:pt>
                <c:pt idx="22">
                  <c:v>2.0912307303512762E-2</c:v>
                </c:pt>
              </c:numCache>
            </c:numRef>
          </c:val>
        </c:ser>
        <c:ser>
          <c:idx val="6"/>
          <c:order val="6"/>
          <c:tx>
            <c:strRef>
              <c:f>Stage!$AJ$6</c:f>
              <c:strCache>
                <c:ptCount val="1"/>
                <c:pt idx="0">
                  <c:v>Resection, Chemotherapy and Radiotherapy</c:v>
                </c:pt>
              </c:strCache>
            </c:strRef>
          </c:tx>
          <c:spPr>
            <a:solidFill>
              <a:schemeClr val="accent5">
                <a:lumMod val="75000"/>
              </a:schemeClr>
            </a:solidFill>
          </c:spPr>
          <c:invertIfNegative val="0"/>
          <c:cat>
            <c:multiLvlStrRef>
              <c:f>Stage!$AA$7:$AB$29</c:f>
              <c:multiLvlStrCache>
                <c:ptCount val="23"/>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lvl>
                <c:lvl>
                  <c:pt idx="0">
                    <c:v>Early</c:v>
                  </c:pt>
                  <c:pt idx="8">
                    <c:v>Late</c:v>
                  </c:pt>
                  <c:pt idx="16">
                    <c:v>Unknown</c:v>
                  </c:pt>
                </c:lvl>
              </c:multiLvlStrCache>
            </c:multiLvlStrRef>
          </c:cat>
          <c:val>
            <c:numRef>
              <c:f>Stage!$AJ$7:$AJ$29</c:f>
              <c:numCache>
                <c:formatCode>0%</c:formatCode>
                <c:ptCount val="23"/>
                <c:pt idx="0">
                  <c:v>0.16725019450928086</c:v>
                </c:pt>
                <c:pt idx="1">
                  <c:v>0.30471790349481431</c:v>
                </c:pt>
                <c:pt idx="2">
                  <c:v>0.17500965126753312</c:v>
                </c:pt>
                <c:pt idx="3">
                  <c:v>0.14092495636998253</c:v>
                </c:pt>
                <c:pt idx="4">
                  <c:v>9.3008338678640154E-2</c:v>
                </c:pt>
                <c:pt idx="5">
                  <c:v>0.15382244143033291</c:v>
                </c:pt>
                <c:pt idx="6">
                  <c:v>0.23531067687857343</c:v>
                </c:pt>
                <c:pt idx="8">
                  <c:v>0.67427616926503342</c:v>
                </c:pt>
                <c:pt idx="9">
                  <c:v>0.49865439708308013</c:v>
                </c:pt>
                <c:pt idx="10">
                  <c:v>0.25604113110539845</c:v>
                </c:pt>
                <c:pt idx="11">
                  <c:v>0.22120658135283364</c:v>
                </c:pt>
                <c:pt idx="12">
                  <c:v>4.664855072463768E-2</c:v>
                </c:pt>
                <c:pt idx="13">
                  <c:v>0.30349344978165937</c:v>
                </c:pt>
                <c:pt idx="14">
                  <c:v>0.42310398960645268</c:v>
                </c:pt>
                <c:pt idx="16">
                  <c:v>0.22169811320754718</c:v>
                </c:pt>
                <c:pt idx="17">
                  <c:v>0.23534115138592751</c:v>
                </c:pt>
                <c:pt idx="18">
                  <c:v>9.8009188361408886E-2</c:v>
                </c:pt>
                <c:pt idx="19">
                  <c:v>8.2228116710875335E-2</c:v>
                </c:pt>
                <c:pt idx="20">
                  <c:v>1.6191709844559584E-2</c:v>
                </c:pt>
                <c:pt idx="21">
                  <c:v>5.9505409582689336E-2</c:v>
                </c:pt>
                <c:pt idx="22">
                  <c:v>0.16780389183725045</c:v>
                </c:pt>
              </c:numCache>
            </c:numRef>
          </c:val>
        </c:ser>
        <c:ser>
          <c:idx val="7"/>
          <c:order val="7"/>
          <c:tx>
            <c:strRef>
              <c:f>Stage!$AI$6</c:f>
              <c:strCache>
                <c:ptCount val="1"/>
                <c:pt idx="0">
                  <c:v>Other care</c:v>
                </c:pt>
              </c:strCache>
            </c:strRef>
          </c:tx>
          <c:spPr>
            <a:solidFill>
              <a:schemeClr val="tx1">
                <a:lumMod val="65000"/>
                <a:lumOff val="35000"/>
              </a:schemeClr>
            </a:solidFill>
          </c:spPr>
          <c:invertIfNegative val="0"/>
          <c:cat>
            <c:multiLvlStrRef>
              <c:f>Stage!$AA$7:$AB$29</c:f>
              <c:multiLvlStrCache>
                <c:ptCount val="23"/>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lvl>
                <c:lvl>
                  <c:pt idx="0">
                    <c:v>Early</c:v>
                  </c:pt>
                  <c:pt idx="8">
                    <c:v>Late</c:v>
                  </c:pt>
                  <c:pt idx="16">
                    <c:v>Unknown</c:v>
                  </c:pt>
                </c:lvl>
              </c:multiLvlStrCache>
            </c:multiLvlStrRef>
          </c:cat>
          <c:val>
            <c:numRef>
              <c:f>Stage!$AI$7:$AI$29</c:f>
              <c:numCache>
                <c:formatCode>0%</c:formatCode>
                <c:ptCount val="23"/>
                <c:pt idx="0">
                  <c:v>1.0920306768922975E-2</c:v>
                </c:pt>
                <c:pt idx="1">
                  <c:v>0.10718325249698062</c:v>
                </c:pt>
                <c:pt idx="2">
                  <c:v>0.15043108994981341</c:v>
                </c:pt>
                <c:pt idx="3">
                  <c:v>9.2495636998254804E-2</c:v>
                </c:pt>
                <c:pt idx="4">
                  <c:v>0.50545221295702369</c:v>
                </c:pt>
                <c:pt idx="5">
                  <c:v>6.0110974106041923E-2</c:v>
                </c:pt>
                <c:pt idx="6">
                  <c:v>8.1035168952697134E-2</c:v>
                </c:pt>
                <c:pt idx="8">
                  <c:v>2.5055679287305122E-2</c:v>
                </c:pt>
                <c:pt idx="9">
                  <c:v>0.12622623491622537</c:v>
                </c:pt>
                <c:pt idx="10">
                  <c:v>0.24267352185089974</c:v>
                </c:pt>
                <c:pt idx="11">
                  <c:v>0.24680073126142596</c:v>
                </c:pt>
                <c:pt idx="12">
                  <c:v>0.54619565217391308</c:v>
                </c:pt>
                <c:pt idx="13">
                  <c:v>0.20742358078602621</c:v>
                </c:pt>
                <c:pt idx="14">
                  <c:v>0.18443133221458344</c:v>
                </c:pt>
                <c:pt idx="16">
                  <c:v>0.20283018867924529</c:v>
                </c:pt>
                <c:pt idx="17">
                  <c:v>0.43256929637526653</c:v>
                </c:pt>
                <c:pt idx="18">
                  <c:v>0.44372128637059727</c:v>
                </c:pt>
                <c:pt idx="19">
                  <c:v>0.41114058355437666</c:v>
                </c:pt>
                <c:pt idx="20">
                  <c:v>0.84715025906735753</c:v>
                </c:pt>
                <c:pt idx="21">
                  <c:v>0.48531684698608962</c:v>
                </c:pt>
                <c:pt idx="22">
                  <c:v>0.44737174627242859</c:v>
                </c:pt>
              </c:numCache>
            </c:numRef>
          </c:val>
        </c:ser>
        <c:dLbls>
          <c:showLegendKey val="0"/>
          <c:showVal val="0"/>
          <c:showCatName val="0"/>
          <c:showSerName val="0"/>
          <c:showPercent val="0"/>
          <c:showBubbleSize val="0"/>
        </c:dLbls>
        <c:gapWidth val="95"/>
        <c:overlap val="100"/>
        <c:axId val="130267392"/>
        <c:axId val="130277760"/>
      </c:barChart>
      <c:catAx>
        <c:axId val="130267392"/>
        <c:scaling>
          <c:orientation val="minMax"/>
        </c:scaling>
        <c:delete val="0"/>
        <c:axPos val="b"/>
        <c:title>
          <c:tx>
            <c:rich>
              <a:bodyPr/>
              <a:lstStyle/>
              <a:p>
                <a:pPr>
                  <a:defRPr/>
                </a:pPr>
                <a:r>
                  <a:rPr lang="en-GB"/>
                  <a:t>Route to Diagnosis and stage</a:t>
                </a:r>
              </a:p>
            </c:rich>
          </c:tx>
          <c:layout/>
          <c:overlay val="0"/>
        </c:title>
        <c:numFmt formatCode="General" sourceLinked="1"/>
        <c:majorTickMark val="out"/>
        <c:minorTickMark val="none"/>
        <c:tickLblPos val="nextTo"/>
        <c:txPr>
          <a:bodyPr rot="-5400000" vert="horz"/>
          <a:lstStyle/>
          <a:p>
            <a:pPr>
              <a:defRPr/>
            </a:pPr>
            <a:endParaRPr lang="en-US"/>
          </a:p>
        </c:txPr>
        <c:crossAx val="130277760"/>
        <c:crosses val="autoZero"/>
        <c:auto val="1"/>
        <c:lblAlgn val="ctr"/>
        <c:lblOffset val="100"/>
        <c:noMultiLvlLbl val="0"/>
      </c:catAx>
      <c:valAx>
        <c:axId val="130277760"/>
        <c:scaling>
          <c:orientation val="minMax"/>
          <c:max val="1"/>
        </c:scaling>
        <c:delete val="0"/>
        <c:axPos val="l"/>
        <c:majorGridlines>
          <c:spPr>
            <a:ln>
              <a:solidFill>
                <a:schemeClr val="bg1"/>
              </a:solidFill>
            </a:ln>
          </c:spPr>
        </c:majorGridlines>
        <c:title>
          <c:tx>
            <c:rich>
              <a:bodyPr rot="-5400000" vert="horz"/>
              <a:lstStyle/>
              <a:p>
                <a:pPr>
                  <a:defRPr/>
                </a:pPr>
                <a:r>
                  <a:rPr lang="en-GB"/>
                  <a:t>Percentage by treatment modality</a:t>
                </a:r>
              </a:p>
            </c:rich>
          </c:tx>
          <c:layout>
            <c:manualLayout>
              <c:xMode val="edge"/>
              <c:yMode val="edge"/>
              <c:x val="8.6509867531765344E-3"/>
              <c:y val="0.2487182056788356"/>
            </c:manualLayout>
          </c:layout>
          <c:overlay val="0"/>
        </c:title>
        <c:numFmt formatCode="0%" sourceLinked="1"/>
        <c:majorTickMark val="out"/>
        <c:minorTickMark val="none"/>
        <c:tickLblPos val="nextTo"/>
        <c:crossAx val="130267392"/>
        <c:crosses val="autoZero"/>
        <c:crossBetween val="between"/>
      </c:valAx>
      <c:spPr>
        <a:solidFill>
          <a:schemeClr val="bg1">
            <a:lumMod val="85000"/>
          </a:schemeClr>
        </a:solidFill>
      </c:spPr>
    </c:plotArea>
    <c:legend>
      <c:legendPos val="r"/>
      <c:layout>
        <c:manualLayout>
          <c:xMode val="edge"/>
          <c:yMode val="edge"/>
          <c:x val="0.70561803865425898"/>
          <c:y val="0.10493737505609727"/>
          <c:w val="0.19256377952755904"/>
          <c:h val="0.52015702908196637"/>
        </c:manualLayout>
      </c:layout>
      <c:overlay val="0"/>
    </c:legend>
    <c:plotVisOnly val="1"/>
    <c:dispBlanksAs val="gap"/>
    <c:showDLblsOverMax val="0"/>
  </c:chart>
  <c:spPr>
    <a:solidFill>
      <a:srgbClr val="CCE3F1"/>
    </a:solidFill>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Lookups!$H$7</c:f>
          <c:strCache>
            <c:ptCount val="1"/>
            <c:pt idx="0">
              <c:v>Treatment type by stage and Route, 2013-2015, Breast, England</c:v>
            </c:pt>
          </c:strCache>
        </c:strRef>
      </c:tx>
      <c:layout>
        <c:manualLayout>
          <c:xMode val="edge"/>
          <c:yMode val="edge"/>
          <c:x val="0.12853027916964924"/>
          <c:y val="1.4097856949827675E-2"/>
        </c:manualLayout>
      </c:layout>
      <c:overlay val="0"/>
      <c:txPr>
        <a:bodyPr/>
        <a:lstStyle/>
        <a:p>
          <a:pPr>
            <a:defRPr/>
          </a:pPr>
          <a:endParaRPr lang="en-US"/>
        </a:p>
      </c:txPr>
    </c:title>
    <c:autoTitleDeleted val="0"/>
    <c:plotArea>
      <c:layout>
        <c:manualLayout>
          <c:layoutTarget val="inner"/>
          <c:xMode val="edge"/>
          <c:yMode val="edge"/>
          <c:x val="8.341732283464566E-2"/>
          <c:y val="6.221151014659753E-2"/>
          <c:w val="0.62007835838701986"/>
          <c:h val="0.587105039657977"/>
        </c:manualLayout>
      </c:layout>
      <c:barChart>
        <c:barDir val="col"/>
        <c:grouping val="stacked"/>
        <c:varyColors val="0"/>
        <c:ser>
          <c:idx val="0"/>
          <c:order val="0"/>
          <c:tx>
            <c:strRef>
              <c:f>Stage!$AC$6</c:f>
              <c:strCache>
                <c:ptCount val="1"/>
                <c:pt idx="0">
                  <c:v>Tumour resection only</c:v>
                </c:pt>
              </c:strCache>
            </c:strRef>
          </c:tx>
          <c:spPr>
            <a:solidFill>
              <a:srgbClr val="00B092"/>
            </a:solidFill>
          </c:spPr>
          <c:invertIfNegative val="0"/>
          <c:cat>
            <c:multiLvlStrRef>
              <c:f>Stage!$AA$34:$AB$60</c:f>
              <c:multiLvlStrCache>
                <c:ptCount val="27"/>
                <c:lvl>
                  <c:pt idx="0">
                    <c:v>Early</c:v>
                  </c:pt>
                  <c:pt idx="1">
                    <c:v>Late</c:v>
                  </c:pt>
                  <c:pt idx="2">
                    <c:v>Unknown</c:v>
                  </c:pt>
                  <c:pt idx="4">
                    <c:v>Early</c:v>
                  </c:pt>
                  <c:pt idx="5">
                    <c:v>Late</c:v>
                  </c:pt>
                  <c:pt idx="6">
                    <c:v>Unknown</c:v>
                  </c:pt>
                  <c:pt idx="8">
                    <c:v>Early</c:v>
                  </c:pt>
                  <c:pt idx="9">
                    <c:v>Late</c:v>
                  </c:pt>
                  <c:pt idx="10">
                    <c:v>Unknown</c:v>
                  </c:pt>
                  <c:pt idx="12">
                    <c:v>Early</c:v>
                  </c:pt>
                  <c:pt idx="13">
                    <c:v>Late</c:v>
                  </c:pt>
                  <c:pt idx="14">
                    <c:v>Unknown</c:v>
                  </c:pt>
                  <c:pt idx="16">
                    <c:v>Early</c:v>
                  </c:pt>
                  <c:pt idx="17">
                    <c:v>Late</c:v>
                  </c:pt>
                  <c:pt idx="18">
                    <c:v>Unknown</c:v>
                  </c:pt>
                  <c:pt idx="20">
                    <c:v>Early</c:v>
                  </c:pt>
                  <c:pt idx="21">
                    <c:v>Late</c:v>
                  </c:pt>
                  <c:pt idx="22">
                    <c:v>Unknown</c:v>
                  </c:pt>
                  <c:pt idx="24">
                    <c:v>Early</c:v>
                  </c:pt>
                  <c:pt idx="25">
                    <c:v>Late</c:v>
                  </c:pt>
                  <c:pt idx="26">
                    <c:v>Unknown</c:v>
                  </c:pt>
                </c:lvl>
                <c:lvl>
                  <c:pt idx="0">
                    <c:v>Screen detected</c:v>
                  </c:pt>
                  <c:pt idx="4">
                    <c:v>Two Week Wait</c:v>
                  </c:pt>
                  <c:pt idx="8">
                    <c:v>GP referral</c:v>
                  </c:pt>
                  <c:pt idx="12">
                    <c:v>IP &amp; OP</c:v>
                  </c:pt>
                  <c:pt idx="16">
                    <c:v>Emergency presentation</c:v>
                  </c:pt>
                  <c:pt idx="20">
                    <c:v>Unknown</c:v>
                  </c:pt>
                  <c:pt idx="24">
                    <c:v>All Routes</c:v>
                  </c:pt>
                </c:lvl>
              </c:multiLvlStrCache>
            </c:multiLvlStrRef>
          </c:cat>
          <c:val>
            <c:numRef>
              <c:f>Stage!$AC$34:$AC$60</c:f>
              <c:numCache>
                <c:formatCode>0%</c:formatCode>
                <c:ptCount val="27"/>
                <c:pt idx="0">
                  <c:v>0.14896632210736913</c:v>
                </c:pt>
                <c:pt idx="1">
                  <c:v>3.8975501113585748E-2</c:v>
                </c:pt>
                <c:pt idx="2">
                  <c:v>0.16650943396226414</c:v>
                </c:pt>
                <c:pt idx="4">
                  <c:v>0.18110538120890285</c:v>
                </c:pt>
                <c:pt idx="5">
                  <c:v>4.7486761003559336E-2</c:v>
                </c:pt>
                <c:pt idx="6">
                  <c:v>0.11980277185501066</c:v>
                </c:pt>
                <c:pt idx="8">
                  <c:v>0.25929738772358768</c:v>
                </c:pt>
                <c:pt idx="9">
                  <c:v>6.5809768637532129E-2</c:v>
                </c:pt>
                <c:pt idx="10">
                  <c:v>0.17496171516079634</c:v>
                </c:pt>
                <c:pt idx="12">
                  <c:v>0.29363001745200701</c:v>
                </c:pt>
                <c:pt idx="13">
                  <c:v>3.8391224862888484E-2</c:v>
                </c:pt>
                <c:pt idx="14">
                  <c:v>0.18037135278514588</c:v>
                </c:pt>
                <c:pt idx="16">
                  <c:v>0.17190506735086594</c:v>
                </c:pt>
                <c:pt idx="17">
                  <c:v>2.2644927536231884E-2</c:v>
                </c:pt>
                <c:pt idx="18">
                  <c:v>4.2746113989637305E-2</c:v>
                </c:pt>
                <c:pt idx="20">
                  <c:v>0.30302096177558568</c:v>
                </c:pt>
                <c:pt idx="21">
                  <c:v>0.11353711790393013</c:v>
                </c:pt>
                <c:pt idx="22">
                  <c:v>0.1901081916537867</c:v>
                </c:pt>
                <c:pt idx="24">
                  <c:v>0.18197967325781181</c:v>
                </c:pt>
                <c:pt idx="25">
                  <c:v>4.6987495263357333E-2</c:v>
                </c:pt>
                <c:pt idx="26">
                  <c:v>0.13627748294162245</c:v>
                </c:pt>
              </c:numCache>
            </c:numRef>
          </c:val>
        </c:ser>
        <c:ser>
          <c:idx val="1"/>
          <c:order val="1"/>
          <c:tx>
            <c:strRef>
              <c:f>Stage!$AF$6</c:f>
              <c:strCache>
                <c:ptCount val="1"/>
                <c:pt idx="0">
                  <c:v>Tumour resection
 and Chemotherapy</c:v>
                </c:pt>
              </c:strCache>
            </c:strRef>
          </c:tx>
          <c:spPr>
            <a:solidFill>
              <a:srgbClr val="007E39"/>
            </a:solidFill>
          </c:spPr>
          <c:invertIfNegative val="0"/>
          <c:cat>
            <c:multiLvlStrRef>
              <c:f>Stage!$AA$34:$AB$60</c:f>
              <c:multiLvlStrCache>
                <c:ptCount val="27"/>
                <c:lvl>
                  <c:pt idx="0">
                    <c:v>Early</c:v>
                  </c:pt>
                  <c:pt idx="1">
                    <c:v>Late</c:v>
                  </c:pt>
                  <c:pt idx="2">
                    <c:v>Unknown</c:v>
                  </c:pt>
                  <c:pt idx="4">
                    <c:v>Early</c:v>
                  </c:pt>
                  <c:pt idx="5">
                    <c:v>Late</c:v>
                  </c:pt>
                  <c:pt idx="6">
                    <c:v>Unknown</c:v>
                  </c:pt>
                  <c:pt idx="8">
                    <c:v>Early</c:v>
                  </c:pt>
                  <c:pt idx="9">
                    <c:v>Late</c:v>
                  </c:pt>
                  <c:pt idx="10">
                    <c:v>Unknown</c:v>
                  </c:pt>
                  <c:pt idx="12">
                    <c:v>Early</c:v>
                  </c:pt>
                  <c:pt idx="13">
                    <c:v>Late</c:v>
                  </c:pt>
                  <c:pt idx="14">
                    <c:v>Unknown</c:v>
                  </c:pt>
                  <c:pt idx="16">
                    <c:v>Early</c:v>
                  </c:pt>
                  <c:pt idx="17">
                    <c:v>Late</c:v>
                  </c:pt>
                  <c:pt idx="18">
                    <c:v>Unknown</c:v>
                  </c:pt>
                  <c:pt idx="20">
                    <c:v>Early</c:v>
                  </c:pt>
                  <c:pt idx="21">
                    <c:v>Late</c:v>
                  </c:pt>
                  <c:pt idx="22">
                    <c:v>Unknown</c:v>
                  </c:pt>
                  <c:pt idx="24">
                    <c:v>Early</c:v>
                  </c:pt>
                  <c:pt idx="25">
                    <c:v>Late</c:v>
                  </c:pt>
                  <c:pt idx="26">
                    <c:v>Unknown</c:v>
                  </c:pt>
                </c:lvl>
                <c:lvl>
                  <c:pt idx="0">
                    <c:v>Screen detected</c:v>
                  </c:pt>
                  <c:pt idx="4">
                    <c:v>Two Week Wait</c:v>
                  </c:pt>
                  <c:pt idx="8">
                    <c:v>GP referral</c:v>
                  </c:pt>
                  <c:pt idx="12">
                    <c:v>IP &amp; OP</c:v>
                  </c:pt>
                  <c:pt idx="16">
                    <c:v>Emergency presentation</c:v>
                  </c:pt>
                  <c:pt idx="20">
                    <c:v>Unknown</c:v>
                  </c:pt>
                  <c:pt idx="24">
                    <c:v>All Routes</c:v>
                  </c:pt>
                </c:lvl>
              </c:multiLvlStrCache>
            </c:multiLvlStrRef>
          </c:cat>
          <c:val>
            <c:numRef>
              <c:f>Stage!$AF$34:$AF$60</c:f>
              <c:numCache>
                <c:formatCode>0%</c:formatCode>
                <c:ptCount val="27"/>
                <c:pt idx="0">
                  <c:v>3.6790041124819386E-2</c:v>
                </c:pt>
                <c:pt idx="1">
                  <c:v>7.5723830734966593E-2</c:v>
                </c:pt>
                <c:pt idx="2">
                  <c:v>4.0566037735849055E-2</c:v>
                </c:pt>
                <c:pt idx="4">
                  <c:v>7.7947970783888959E-2</c:v>
                </c:pt>
                <c:pt idx="5">
                  <c:v>5.6688948693462977E-2</c:v>
                </c:pt>
                <c:pt idx="6">
                  <c:v>4.2643923240938165E-2</c:v>
                </c:pt>
                <c:pt idx="8">
                  <c:v>8.21001158152104E-2</c:v>
                </c:pt>
                <c:pt idx="9">
                  <c:v>5.2956298200514139E-2</c:v>
                </c:pt>
                <c:pt idx="10">
                  <c:v>4.0964777947932622E-2</c:v>
                </c:pt>
                <c:pt idx="12">
                  <c:v>9.293193717277487E-2</c:v>
                </c:pt>
                <c:pt idx="13">
                  <c:v>6.0329067641681902E-2</c:v>
                </c:pt>
                <c:pt idx="14">
                  <c:v>4.5092838196286469E-2</c:v>
                </c:pt>
                <c:pt idx="16">
                  <c:v>3.784477228992944E-2</c:v>
                </c:pt>
                <c:pt idx="17">
                  <c:v>8.605072463768116E-3</c:v>
                </c:pt>
                <c:pt idx="18">
                  <c:v>3.8860103626943004E-3</c:v>
                </c:pt>
                <c:pt idx="20">
                  <c:v>6.5659679408138105E-2</c:v>
                </c:pt>
                <c:pt idx="21">
                  <c:v>5.8951965065502182E-2</c:v>
                </c:pt>
                <c:pt idx="22">
                  <c:v>4.4049459041731069E-2</c:v>
                </c:pt>
                <c:pt idx="24">
                  <c:v>6.322257491481989E-2</c:v>
                </c:pt>
                <c:pt idx="25">
                  <c:v>5.256320034645158E-2</c:v>
                </c:pt>
                <c:pt idx="26">
                  <c:v>3.8539297447561287E-2</c:v>
                </c:pt>
              </c:numCache>
            </c:numRef>
          </c:val>
        </c:ser>
        <c:ser>
          <c:idx val="2"/>
          <c:order val="2"/>
          <c:tx>
            <c:strRef>
              <c:f>Stage!$AG$6</c:f>
              <c:strCache>
                <c:ptCount val="1"/>
                <c:pt idx="0">
                  <c:v>Tumour resection
 and Radiotherapy</c:v>
                </c:pt>
              </c:strCache>
            </c:strRef>
          </c:tx>
          <c:spPr>
            <a:solidFill>
              <a:srgbClr val="80D2A8"/>
            </a:solidFill>
          </c:spPr>
          <c:invertIfNegative val="0"/>
          <c:cat>
            <c:multiLvlStrRef>
              <c:f>Stage!$AA$34:$AB$60</c:f>
              <c:multiLvlStrCache>
                <c:ptCount val="27"/>
                <c:lvl>
                  <c:pt idx="0">
                    <c:v>Early</c:v>
                  </c:pt>
                  <c:pt idx="1">
                    <c:v>Late</c:v>
                  </c:pt>
                  <c:pt idx="2">
                    <c:v>Unknown</c:v>
                  </c:pt>
                  <c:pt idx="4">
                    <c:v>Early</c:v>
                  </c:pt>
                  <c:pt idx="5">
                    <c:v>Late</c:v>
                  </c:pt>
                  <c:pt idx="6">
                    <c:v>Unknown</c:v>
                  </c:pt>
                  <c:pt idx="8">
                    <c:v>Early</c:v>
                  </c:pt>
                  <c:pt idx="9">
                    <c:v>Late</c:v>
                  </c:pt>
                  <c:pt idx="10">
                    <c:v>Unknown</c:v>
                  </c:pt>
                  <c:pt idx="12">
                    <c:v>Early</c:v>
                  </c:pt>
                  <c:pt idx="13">
                    <c:v>Late</c:v>
                  </c:pt>
                  <c:pt idx="14">
                    <c:v>Unknown</c:v>
                  </c:pt>
                  <c:pt idx="16">
                    <c:v>Early</c:v>
                  </c:pt>
                  <c:pt idx="17">
                    <c:v>Late</c:v>
                  </c:pt>
                  <c:pt idx="18">
                    <c:v>Unknown</c:v>
                  </c:pt>
                  <c:pt idx="20">
                    <c:v>Early</c:v>
                  </c:pt>
                  <c:pt idx="21">
                    <c:v>Late</c:v>
                  </c:pt>
                  <c:pt idx="22">
                    <c:v>Unknown</c:v>
                  </c:pt>
                  <c:pt idx="24">
                    <c:v>Early</c:v>
                  </c:pt>
                  <c:pt idx="25">
                    <c:v>Late</c:v>
                  </c:pt>
                  <c:pt idx="26">
                    <c:v>Unknown</c:v>
                  </c:pt>
                </c:lvl>
                <c:lvl>
                  <c:pt idx="0">
                    <c:v>Screen detected</c:v>
                  </c:pt>
                  <c:pt idx="4">
                    <c:v>Two Week Wait</c:v>
                  </c:pt>
                  <c:pt idx="8">
                    <c:v>GP referral</c:v>
                  </c:pt>
                  <c:pt idx="12">
                    <c:v>IP &amp; OP</c:v>
                  </c:pt>
                  <c:pt idx="16">
                    <c:v>Emergency presentation</c:v>
                  </c:pt>
                  <c:pt idx="20">
                    <c:v>Unknown</c:v>
                  </c:pt>
                  <c:pt idx="24">
                    <c:v>All Routes</c:v>
                  </c:pt>
                </c:lvl>
              </c:multiLvlStrCache>
            </c:multiLvlStrRef>
          </c:cat>
          <c:val>
            <c:numRef>
              <c:f>Stage!$AG$34:$AG$60</c:f>
              <c:numCache>
                <c:formatCode>0%</c:formatCode>
                <c:ptCount val="27"/>
                <c:pt idx="0">
                  <c:v>0.62443036567744803</c:v>
                </c:pt>
                <c:pt idx="1">
                  <c:v>0.11971046770601336</c:v>
                </c:pt>
                <c:pt idx="2">
                  <c:v>0.31650943396226416</c:v>
                </c:pt>
                <c:pt idx="4">
                  <c:v>0.31430324176140179</c:v>
                </c:pt>
                <c:pt idx="5">
                  <c:v>0.13169545967531904</c:v>
                </c:pt>
                <c:pt idx="6">
                  <c:v>0.11580490405117271</c:v>
                </c:pt>
                <c:pt idx="8">
                  <c:v>0.27319521297130356</c:v>
                </c:pt>
                <c:pt idx="9">
                  <c:v>8.0205655526992284E-2</c:v>
                </c:pt>
                <c:pt idx="10">
                  <c:v>8.8820826952526799E-2</c:v>
                </c:pt>
                <c:pt idx="12">
                  <c:v>0.33769633507853403</c:v>
                </c:pt>
                <c:pt idx="13">
                  <c:v>8.957952468007313E-2</c:v>
                </c:pt>
                <c:pt idx="14">
                  <c:v>0.10212201591511937</c:v>
                </c:pt>
                <c:pt idx="16">
                  <c:v>0.15394483643361129</c:v>
                </c:pt>
                <c:pt idx="17">
                  <c:v>2.5362318840579712E-2</c:v>
                </c:pt>
                <c:pt idx="18">
                  <c:v>1.3601036269430052E-2</c:v>
                </c:pt>
                <c:pt idx="20">
                  <c:v>0.344019728729963</c:v>
                </c:pt>
                <c:pt idx="21">
                  <c:v>8.7336244541484712E-2</c:v>
                </c:pt>
                <c:pt idx="22">
                  <c:v>8.3462132921174659E-2</c:v>
                </c:pt>
                <c:pt idx="24">
                  <c:v>0.41857169205082656</c:v>
                </c:pt>
                <c:pt idx="25">
                  <c:v>0.11005250906728739</c:v>
                </c:pt>
                <c:pt idx="26">
                  <c:v>0.12496841041192823</c:v>
                </c:pt>
              </c:numCache>
            </c:numRef>
          </c:val>
        </c:ser>
        <c:ser>
          <c:idx val="4"/>
          <c:order val="3"/>
          <c:tx>
            <c:strRef>
              <c:f>Stage!$AE$6</c:f>
              <c:strCache>
                <c:ptCount val="1"/>
                <c:pt idx="0">
                  <c:v>Radiotherapy only</c:v>
                </c:pt>
              </c:strCache>
            </c:strRef>
          </c:tx>
          <c:spPr>
            <a:solidFill>
              <a:srgbClr val="00549F"/>
            </a:solidFill>
          </c:spPr>
          <c:invertIfNegative val="0"/>
          <c:cat>
            <c:multiLvlStrRef>
              <c:f>Stage!$AA$34:$AB$60</c:f>
              <c:multiLvlStrCache>
                <c:ptCount val="27"/>
                <c:lvl>
                  <c:pt idx="0">
                    <c:v>Early</c:v>
                  </c:pt>
                  <c:pt idx="1">
                    <c:v>Late</c:v>
                  </c:pt>
                  <c:pt idx="2">
                    <c:v>Unknown</c:v>
                  </c:pt>
                  <c:pt idx="4">
                    <c:v>Early</c:v>
                  </c:pt>
                  <c:pt idx="5">
                    <c:v>Late</c:v>
                  </c:pt>
                  <c:pt idx="6">
                    <c:v>Unknown</c:v>
                  </c:pt>
                  <c:pt idx="8">
                    <c:v>Early</c:v>
                  </c:pt>
                  <c:pt idx="9">
                    <c:v>Late</c:v>
                  </c:pt>
                  <c:pt idx="10">
                    <c:v>Unknown</c:v>
                  </c:pt>
                  <c:pt idx="12">
                    <c:v>Early</c:v>
                  </c:pt>
                  <c:pt idx="13">
                    <c:v>Late</c:v>
                  </c:pt>
                  <c:pt idx="14">
                    <c:v>Unknown</c:v>
                  </c:pt>
                  <c:pt idx="16">
                    <c:v>Early</c:v>
                  </c:pt>
                  <c:pt idx="17">
                    <c:v>Late</c:v>
                  </c:pt>
                  <c:pt idx="18">
                    <c:v>Unknown</c:v>
                  </c:pt>
                  <c:pt idx="20">
                    <c:v>Early</c:v>
                  </c:pt>
                  <c:pt idx="21">
                    <c:v>Late</c:v>
                  </c:pt>
                  <c:pt idx="22">
                    <c:v>Unknown</c:v>
                  </c:pt>
                  <c:pt idx="24">
                    <c:v>Early</c:v>
                  </c:pt>
                  <c:pt idx="25">
                    <c:v>Late</c:v>
                  </c:pt>
                  <c:pt idx="26">
                    <c:v>Unknown</c:v>
                  </c:pt>
                </c:lvl>
                <c:lvl>
                  <c:pt idx="0">
                    <c:v>Screen detected</c:v>
                  </c:pt>
                  <c:pt idx="4">
                    <c:v>Two Week Wait</c:v>
                  </c:pt>
                  <c:pt idx="8">
                    <c:v>GP referral</c:v>
                  </c:pt>
                  <c:pt idx="12">
                    <c:v>IP &amp; OP</c:v>
                  </c:pt>
                  <c:pt idx="16">
                    <c:v>Emergency presentation</c:v>
                  </c:pt>
                  <c:pt idx="20">
                    <c:v>Unknown</c:v>
                  </c:pt>
                  <c:pt idx="24">
                    <c:v>All Routes</c:v>
                  </c:pt>
                </c:lvl>
              </c:multiLvlStrCache>
            </c:multiLvlStrRef>
          </c:cat>
          <c:val>
            <c:numRef>
              <c:f>Stage!$AE$34:$AE$60</c:f>
              <c:numCache>
                <c:formatCode>0%</c:formatCode>
                <c:ptCount val="27"/>
                <c:pt idx="0">
                  <c:v>8.1138157163498942E-3</c:v>
                </c:pt>
                <c:pt idx="1">
                  <c:v>8.9086859688195987E-3</c:v>
                </c:pt>
                <c:pt idx="2">
                  <c:v>3.2547169811320754E-2</c:v>
                </c:pt>
                <c:pt idx="4">
                  <c:v>5.2527653700899105E-3</c:v>
                </c:pt>
                <c:pt idx="5">
                  <c:v>3.1773591457591802E-2</c:v>
                </c:pt>
                <c:pt idx="6">
                  <c:v>1.7723880597014924E-2</c:v>
                </c:pt>
                <c:pt idx="8">
                  <c:v>3.2428258911337021E-2</c:v>
                </c:pt>
                <c:pt idx="9">
                  <c:v>9.8200514138817474E-2</c:v>
                </c:pt>
                <c:pt idx="10">
                  <c:v>6.6998468606431855E-2</c:v>
                </c:pt>
                <c:pt idx="12">
                  <c:v>2.006980802792321E-2</c:v>
                </c:pt>
                <c:pt idx="13">
                  <c:v>8.226691042047532E-2</c:v>
                </c:pt>
                <c:pt idx="14">
                  <c:v>4.5092838196286469E-2</c:v>
                </c:pt>
                <c:pt idx="16">
                  <c:v>1.731879409878127E-2</c:v>
                </c:pt>
                <c:pt idx="17">
                  <c:v>0.15670289855072464</c:v>
                </c:pt>
                <c:pt idx="18">
                  <c:v>4.145077720207254E-2</c:v>
                </c:pt>
                <c:pt idx="20">
                  <c:v>4.3464858199753389E-2</c:v>
                </c:pt>
                <c:pt idx="21">
                  <c:v>4.8034934497816595E-2</c:v>
                </c:pt>
                <c:pt idx="22">
                  <c:v>7.6506955177743433E-2</c:v>
                </c:pt>
                <c:pt idx="24">
                  <c:v>1.00177640583593E-2</c:v>
                </c:pt>
                <c:pt idx="25">
                  <c:v>5.3375196232339092E-2</c:v>
                </c:pt>
                <c:pt idx="26">
                  <c:v>3.626484710639373E-2</c:v>
                </c:pt>
              </c:numCache>
            </c:numRef>
          </c:val>
        </c:ser>
        <c:ser>
          <c:idx val="3"/>
          <c:order val="4"/>
          <c:tx>
            <c:strRef>
              <c:f>Stage!$AD$6</c:f>
              <c:strCache>
                <c:ptCount val="1"/>
                <c:pt idx="0">
                  <c:v>Chemotherapy only</c:v>
                </c:pt>
              </c:strCache>
            </c:strRef>
          </c:tx>
          <c:spPr>
            <a:solidFill>
              <a:srgbClr val="E9994A"/>
            </a:solidFill>
          </c:spPr>
          <c:invertIfNegative val="0"/>
          <c:cat>
            <c:multiLvlStrRef>
              <c:f>Stage!$AA$34:$AB$60</c:f>
              <c:multiLvlStrCache>
                <c:ptCount val="27"/>
                <c:lvl>
                  <c:pt idx="0">
                    <c:v>Early</c:v>
                  </c:pt>
                  <c:pt idx="1">
                    <c:v>Late</c:v>
                  </c:pt>
                  <c:pt idx="2">
                    <c:v>Unknown</c:v>
                  </c:pt>
                  <c:pt idx="4">
                    <c:v>Early</c:v>
                  </c:pt>
                  <c:pt idx="5">
                    <c:v>Late</c:v>
                  </c:pt>
                  <c:pt idx="6">
                    <c:v>Unknown</c:v>
                  </c:pt>
                  <c:pt idx="8">
                    <c:v>Early</c:v>
                  </c:pt>
                  <c:pt idx="9">
                    <c:v>Late</c:v>
                  </c:pt>
                  <c:pt idx="10">
                    <c:v>Unknown</c:v>
                  </c:pt>
                  <c:pt idx="12">
                    <c:v>Early</c:v>
                  </c:pt>
                  <c:pt idx="13">
                    <c:v>Late</c:v>
                  </c:pt>
                  <c:pt idx="14">
                    <c:v>Unknown</c:v>
                  </c:pt>
                  <c:pt idx="16">
                    <c:v>Early</c:v>
                  </c:pt>
                  <c:pt idx="17">
                    <c:v>Late</c:v>
                  </c:pt>
                  <c:pt idx="18">
                    <c:v>Unknown</c:v>
                  </c:pt>
                  <c:pt idx="20">
                    <c:v>Early</c:v>
                  </c:pt>
                  <c:pt idx="21">
                    <c:v>Late</c:v>
                  </c:pt>
                  <c:pt idx="22">
                    <c:v>Unknown</c:v>
                  </c:pt>
                  <c:pt idx="24">
                    <c:v>Early</c:v>
                  </c:pt>
                  <c:pt idx="25">
                    <c:v>Late</c:v>
                  </c:pt>
                  <c:pt idx="26">
                    <c:v>Unknown</c:v>
                  </c:pt>
                </c:lvl>
                <c:lvl>
                  <c:pt idx="0">
                    <c:v>Screen detected</c:v>
                  </c:pt>
                  <c:pt idx="4">
                    <c:v>Two Week Wait</c:v>
                  </c:pt>
                  <c:pt idx="8">
                    <c:v>GP referral</c:v>
                  </c:pt>
                  <c:pt idx="12">
                    <c:v>IP &amp; OP</c:v>
                  </c:pt>
                  <c:pt idx="16">
                    <c:v>Emergency presentation</c:v>
                  </c:pt>
                  <c:pt idx="20">
                    <c:v>Unknown</c:v>
                  </c:pt>
                  <c:pt idx="24">
                    <c:v>All Routes</c:v>
                  </c:pt>
                </c:lvl>
              </c:multiLvlStrCache>
            </c:multiLvlStrRef>
          </c:cat>
          <c:val>
            <c:numRef>
              <c:f>Stage!$AD$34:$AD$60</c:f>
              <c:numCache>
                <c:formatCode>0%</c:formatCode>
                <c:ptCount val="27"/>
                <c:pt idx="0">
                  <c:v>1.0281204846059797E-3</c:v>
                </c:pt>
                <c:pt idx="1">
                  <c:v>3.7305122494432075E-2</c:v>
                </c:pt>
                <c:pt idx="2">
                  <c:v>1.0377358490566037E-2</c:v>
                </c:pt>
                <c:pt idx="4">
                  <c:v>4.4284262791633913E-3</c:v>
                </c:pt>
                <c:pt idx="5">
                  <c:v>7.0231790954075876E-2</c:v>
                </c:pt>
                <c:pt idx="6">
                  <c:v>2.1855010660980809E-2</c:v>
                </c:pt>
                <c:pt idx="8">
                  <c:v>1.1581521039763223E-2</c:v>
                </c:pt>
                <c:pt idx="9">
                  <c:v>0.11876606683804627</c:v>
                </c:pt>
                <c:pt idx="10">
                  <c:v>4.7856049004594184E-2</c:v>
                </c:pt>
                <c:pt idx="12">
                  <c:v>1.0907504363001745E-2</c:v>
                </c:pt>
                <c:pt idx="13">
                  <c:v>0.15356489945155394</c:v>
                </c:pt>
                <c:pt idx="14">
                  <c:v>8.6206896551724144E-2</c:v>
                </c:pt>
                <c:pt idx="16">
                  <c:v>1.3470173187940988E-2</c:v>
                </c:pt>
                <c:pt idx="17">
                  <c:v>0.10461956521739131</c:v>
                </c:pt>
                <c:pt idx="18">
                  <c:v>2.0077720207253884E-2</c:v>
                </c:pt>
                <c:pt idx="20">
                  <c:v>1.1405672009864365E-2</c:v>
                </c:pt>
                <c:pt idx="21">
                  <c:v>0.10262008733624454</c:v>
                </c:pt>
                <c:pt idx="22">
                  <c:v>2.6275115919629059E-2</c:v>
                </c:pt>
                <c:pt idx="24">
                  <c:v>4.2808468505198174E-3</c:v>
                </c:pt>
                <c:pt idx="25">
                  <c:v>7.9521463757916966E-2</c:v>
                </c:pt>
                <c:pt idx="26">
                  <c:v>2.7862016679302503E-2</c:v>
                </c:pt>
              </c:numCache>
            </c:numRef>
          </c:val>
        </c:ser>
        <c:ser>
          <c:idx val="5"/>
          <c:order val="5"/>
          <c:tx>
            <c:strRef>
              <c:f>Stage!$AH$6</c:f>
              <c:strCache>
                <c:ptCount val="1"/>
                <c:pt idx="0">
                  <c:v>Chemotherapy and Radiotherapy</c:v>
                </c:pt>
              </c:strCache>
            </c:strRef>
          </c:tx>
          <c:spPr>
            <a:solidFill>
              <a:srgbClr val="A0C5D0"/>
            </a:solidFill>
          </c:spPr>
          <c:invertIfNegative val="0"/>
          <c:cat>
            <c:multiLvlStrRef>
              <c:f>Stage!$AA$34:$AB$60</c:f>
              <c:multiLvlStrCache>
                <c:ptCount val="27"/>
                <c:lvl>
                  <c:pt idx="0">
                    <c:v>Early</c:v>
                  </c:pt>
                  <c:pt idx="1">
                    <c:v>Late</c:v>
                  </c:pt>
                  <c:pt idx="2">
                    <c:v>Unknown</c:v>
                  </c:pt>
                  <c:pt idx="4">
                    <c:v>Early</c:v>
                  </c:pt>
                  <c:pt idx="5">
                    <c:v>Late</c:v>
                  </c:pt>
                  <c:pt idx="6">
                    <c:v>Unknown</c:v>
                  </c:pt>
                  <c:pt idx="8">
                    <c:v>Early</c:v>
                  </c:pt>
                  <c:pt idx="9">
                    <c:v>Late</c:v>
                  </c:pt>
                  <c:pt idx="10">
                    <c:v>Unknown</c:v>
                  </c:pt>
                  <c:pt idx="12">
                    <c:v>Early</c:v>
                  </c:pt>
                  <c:pt idx="13">
                    <c:v>Late</c:v>
                  </c:pt>
                  <c:pt idx="14">
                    <c:v>Unknown</c:v>
                  </c:pt>
                  <c:pt idx="16">
                    <c:v>Early</c:v>
                  </c:pt>
                  <c:pt idx="17">
                    <c:v>Late</c:v>
                  </c:pt>
                  <c:pt idx="18">
                    <c:v>Unknown</c:v>
                  </c:pt>
                  <c:pt idx="20">
                    <c:v>Early</c:v>
                  </c:pt>
                  <c:pt idx="21">
                    <c:v>Late</c:v>
                  </c:pt>
                  <c:pt idx="22">
                    <c:v>Unknown</c:v>
                  </c:pt>
                  <c:pt idx="24">
                    <c:v>Early</c:v>
                  </c:pt>
                  <c:pt idx="25">
                    <c:v>Late</c:v>
                  </c:pt>
                  <c:pt idx="26">
                    <c:v>Unknown</c:v>
                  </c:pt>
                </c:lvl>
                <c:lvl>
                  <c:pt idx="0">
                    <c:v>Screen detected</c:v>
                  </c:pt>
                  <c:pt idx="4">
                    <c:v>Two Week Wait</c:v>
                  </c:pt>
                  <c:pt idx="8">
                    <c:v>GP referral</c:v>
                  </c:pt>
                  <c:pt idx="12">
                    <c:v>IP &amp; OP</c:v>
                  </c:pt>
                  <c:pt idx="16">
                    <c:v>Emergency presentation</c:v>
                  </c:pt>
                  <c:pt idx="20">
                    <c:v>Unknown</c:v>
                  </c:pt>
                  <c:pt idx="24">
                    <c:v>All Routes</c:v>
                  </c:pt>
                </c:lvl>
              </c:multiLvlStrCache>
            </c:multiLvlStrRef>
          </c:cat>
          <c:val>
            <c:numRef>
              <c:f>Stage!$AH$34:$AH$60</c:f>
              <c:numCache>
                <c:formatCode>0%</c:formatCode>
                <c:ptCount val="27"/>
                <c:pt idx="0">
                  <c:v>2.5008336112037344E-3</c:v>
                </c:pt>
                <c:pt idx="1">
                  <c:v>2.0044543429844099E-2</c:v>
                </c:pt>
                <c:pt idx="2">
                  <c:v>8.962264150943396E-3</c:v>
                </c:pt>
                <c:pt idx="4">
                  <c:v>5.0610586047581622E-3</c:v>
                </c:pt>
                <c:pt idx="5">
                  <c:v>3.7242816216685473E-2</c:v>
                </c:pt>
                <c:pt idx="6">
                  <c:v>1.42590618336887E-2</c:v>
                </c:pt>
                <c:pt idx="8">
                  <c:v>1.5956762321451552E-2</c:v>
                </c:pt>
                <c:pt idx="9">
                  <c:v>8.5347043701799491E-2</c:v>
                </c:pt>
                <c:pt idx="10">
                  <c:v>3.8667687595712097E-2</c:v>
                </c:pt>
                <c:pt idx="12">
                  <c:v>1.1343804537521814E-2</c:v>
                </c:pt>
                <c:pt idx="13">
                  <c:v>0.10786106032906764</c:v>
                </c:pt>
                <c:pt idx="14">
                  <c:v>4.7745358090185673E-2</c:v>
                </c:pt>
                <c:pt idx="16">
                  <c:v>7.0558050032071837E-3</c:v>
                </c:pt>
                <c:pt idx="17">
                  <c:v>8.9221014492753617E-2</c:v>
                </c:pt>
                <c:pt idx="18">
                  <c:v>1.4896373056994818E-2</c:v>
                </c:pt>
                <c:pt idx="20">
                  <c:v>1.8495684340320593E-2</c:v>
                </c:pt>
                <c:pt idx="21">
                  <c:v>7.8602620087336247E-2</c:v>
                </c:pt>
                <c:pt idx="22">
                  <c:v>3.4775888717156103E-2</c:v>
                </c:pt>
                <c:pt idx="24">
                  <c:v>5.5816030363920518E-3</c:v>
                </c:pt>
                <c:pt idx="25">
                  <c:v>4.9964813511611542E-2</c:v>
                </c:pt>
                <c:pt idx="26">
                  <c:v>2.0912307303512762E-2</c:v>
                </c:pt>
              </c:numCache>
            </c:numRef>
          </c:val>
        </c:ser>
        <c:ser>
          <c:idx val="6"/>
          <c:order val="6"/>
          <c:tx>
            <c:strRef>
              <c:f>Stage!$AJ$6</c:f>
              <c:strCache>
                <c:ptCount val="1"/>
                <c:pt idx="0">
                  <c:v>Resection, Chemotherapy and Radiotherapy</c:v>
                </c:pt>
              </c:strCache>
            </c:strRef>
          </c:tx>
          <c:spPr>
            <a:solidFill>
              <a:schemeClr val="accent5">
                <a:lumMod val="75000"/>
              </a:schemeClr>
            </a:solidFill>
          </c:spPr>
          <c:invertIfNegative val="0"/>
          <c:cat>
            <c:multiLvlStrRef>
              <c:f>Stage!$AA$34:$AB$60</c:f>
              <c:multiLvlStrCache>
                <c:ptCount val="27"/>
                <c:lvl>
                  <c:pt idx="0">
                    <c:v>Early</c:v>
                  </c:pt>
                  <c:pt idx="1">
                    <c:v>Late</c:v>
                  </c:pt>
                  <c:pt idx="2">
                    <c:v>Unknown</c:v>
                  </c:pt>
                  <c:pt idx="4">
                    <c:v>Early</c:v>
                  </c:pt>
                  <c:pt idx="5">
                    <c:v>Late</c:v>
                  </c:pt>
                  <c:pt idx="6">
                    <c:v>Unknown</c:v>
                  </c:pt>
                  <c:pt idx="8">
                    <c:v>Early</c:v>
                  </c:pt>
                  <c:pt idx="9">
                    <c:v>Late</c:v>
                  </c:pt>
                  <c:pt idx="10">
                    <c:v>Unknown</c:v>
                  </c:pt>
                  <c:pt idx="12">
                    <c:v>Early</c:v>
                  </c:pt>
                  <c:pt idx="13">
                    <c:v>Late</c:v>
                  </c:pt>
                  <c:pt idx="14">
                    <c:v>Unknown</c:v>
                  </c:pt>
                  <c:pt idx="16">
                    <c:v>Early</c:v>
                  </c:pt>
                  <c:pt idx="17">
                    <c:v>Late</c:v>
                  </c:pt>
                  <c:pt idx="18">
                    <c:v>Unknown</c:v>
                  </c:pt>
                  <c:pt idx="20">
                    <c:v>Early</c:v>
                  </c:pt>
                  <c:pt idx="21">
                    <c:v>Late</c:v>
                  </c:pt>
                  <c:pt idx="22">
                    <c:v>Unknown</c:v>
                  </c:pt>
                  <c:pt idx="24">
                    <c:v>Early</c:v>
                  </c:pt>
                  <c:pt idx="25">
                    <c:v>Late</c:v>
                  </c:pt>
                  <c:pt idx="26">
                    <c:v>Unknown</c:v>
                  </c:pt>
                </c:lvl>
                <c:lvl>
                  <c:pt idx="0">
                    <c:v>Screen detected</c:v>
                  </c:pt>
                  <c:pt idx="4">
                    <c:v>Two Week Wait</c:v>
                  </c:pt>
                  <c:pt idx="8">
                    <c:v>GP referral</c:v>
                  </c:pt>
                  <c:pt idx="12">
                    <c:v>IP &amp; OP</c:v>
                  </c:pt>
                  <c:pt idx="16">
                    <c:v>Emergency presentation</c:v>
                  </c:pt>
                  <c:pt idx="20">
                    <c:v>Unknown</c:v>
                  </c:pt>
                  <c:pt idx="24">
                    <c:v>All Routes</c:v>
                  </c:pt>
                </c:lvl>
              </c:multiLvlStrCache>
            </c:multiLvlStrRef>
          </c:cat>
          <c:val>
            <c:numRef>
              <c:f>Stage!$AJ$34:$AJ$60</c:f>
              <c:numCache>
                <c:formatCode>0%</c:formatCode>
                <c:ptCount val="27"/>
                <c:pt idx="0">
                  <c:v>0.16725019450928086</c:v>
                </c:pt>
                <c:pt idx="1">
                  <c:v>0.67427616926503342</c:v>
                </c:pt>
                <c:pt idx="2">
                  <c:v>0.22169811320754718</c:v>
                </c:pt>
                <c:pt idx="4">
                  <c:v>0.30471790349481431</c:v>
                </c:pt>
                <c:pt idx="5">
                  <c:v>0.49865439708308013</c:v>
                </c:pt>
                <c:pt idx="6">
                  <c:v>0.23534115138592751</c:v>
                </c:pt>
                <c:pt idx="8">
                  <c:v>0.17500965126753312</c:v>
                </c:pt>
                <c:pt idx="9">
                  <c:v>0.25604113110539845</c:v>
                </c:pt>
                <c:pt idx="10">
                  <c:v>9.8009188361408886E-2</c:v>
                </c:pt>
                <c:pt idx="12">
                  <c:v>0.14092495636998253</c:v>
                </c:pt>
                <c:pt idx="13">
                  <c:v>0.22120658135283364</c:v>
                </c:pt>
                <c:pt idx="14">
                  <c:v>8.2228116710875335E-2</c:v>
                </c:pt>
                <c:pt idx="16">
                  <c:v>9.3008338678640154E-2</c:v>
                </c:pt>
                <c:pt idx="17">
                  <c:v>4.664855072463768E-2</c:v>
                </c:pt>
                <c:pt idx="18">
                  <c:v>1.6191709844559584E-2</c:v>
                </c:pt>
                <c:pt idx="20">
                  <c:v>0.15382244143033291</c:v>
                </c:pt>
                <c:pt idx="21">
                  <c:v>0.30349344978165937</c:v>
                </c:pt>
                <c:pt idx="22">
                  <c:v>5.9505409582689336E-2</c:v>
                </c:pt>
                <c:pt idx="24">
                  <c:v>0.23531067687857343</c:v>
                </c:pt>
                <c:pt idx="25">
                  <c:v>0.42310398960645268</c:v>
                </c:pt>
                <c:pt idx="26">
                  <c:v>0.16780389183725045</c:v>
                </c:pt>
              </c:numCache>
            </c:numRef>
          </c:val>
        </c:ser>
        <c:ser>
          <c:idx val="7"/>
          <c:order val="7"/>
          <c:tx>
            <c:strRef>
              <c:f>Stage!$AI$6</c:f>
              <c:strCache>
                <c:ptCount val="1"/>
                <c:pt idx="0">
                  <c:v>Other care</c:v>
                </c:pt>
              </c:strCache>
            </c:strRef>
          </c:tx>
          <c:spPr>
            <a:solidFill>
              <a:schemeClr val="tx1">
                <a:lumMod val="65000"/>
                <a:lumOff val="35000"/>
              </a:schemeClr>
            </a:solidFill>
          </c:spPr>
          <c:invertIfNegative val="0"/>
          <c:cat>
            <c:multiLvlStrRef>
              <c:f>Stage!$AA$34:$AB$60</c:f>
              <c:multiLvlStrCache>
                <c:ptCount val="27"/>
                <c:lvl>
                  <c:pt idx="0">
                    <c:v>Early</c:v>
                  </c:pt>
                  <c:pt idx="1">
                    <c:v>Late</c:v>
                  </c:pt>
                  <c:pt idx="2">
                    <c:v>Unknown</c:v>
                  </c:pt>
                  <c:pt idx="4">
                    <c:v>Early</c:v>
                  </c:pt>
                  <c:pt idx="5">
                    <c:v>Late</c:v>
                  </c:pt>
                  <c:pt idx="6">
                    <c:v>Unknown</c:v>
                  </c:pt>
                  <c:pt idx="8">
                    <c:v>Early</c:v>
                  </c:pt>
                  <c:pt idx="9">
                    <c:v>Late</c:v>
                  </c:pt>
                  <c:pt idx="10">
                    <c:v>Unknown</c:v>
                  </c:pt>
                  <c:pt idx="12">
                    <c:v>Early</c:v>
                  </c:pt>
                  <c:pt idx="13">
                    <c:v>Late</c:v>
                  </c:pt>
                  <c:pt idx="14">
                    <c:v>Unknown</c:v>
                  </c:pt>
                  <c:pt idx="16">
                    <c:v>Early</c:v>
                  </c:pt>
                  <c:pt idx="17">
                    <c:v>Late</c:v>
                  </c:pt>
                  <c:pt idx="18">
                    <c:v>Unknown</c:v>
                  </c:pt>
                  <c:pt idx="20">
                    <c:v>Early</c:v>
                  </c:pt>
                  <c:pt idx="21">
                    <c:v>Late</c:v>
                  </c:pt>
                  <c:pt idx="22">
                    <c:v>Unknown</c:v>
                  </c:pt>
                  <c:pt idx="24">
                    <c:v>Early</c:v>
                  </c:pt>
                  <c:pt idx="25">
                    <c:v>Late</c:v>
                  </c:pt>
                  <c:pt idx="26">
                    <c:v>Unknown</c:v>
                  </c:pt>
                </c:lvl>
                <c:lvl>
                  <c:pt idx="0">
                    <c:v>Screen detected</c:v>
                  </c:pt>
                  <c:pt idx="4">
                    <c:v>Two Week Wait</c:v>
                  </c:pt>
                  <c:pt idx="8">
                    <c:v>GP referral</c:v>
                  </c:pt>
                  <c:pt idx="12">
                    <c:v>IP &amp; OP</c:v>
                  </c:pt>
                  <c:pt idx="16">
                    <c:v>Emergency presentation</c:v>
                  </c:pt>
                  <c:pt idx="20">
                    <c:v>Unknown</c:v>
                  </c:pt>
                  <c:pt idx="24">
                    <c:v>All Routes</c:v>
                  </c:pt>
                </c:lvl>
              </c:multiLvlStrCache>
            </c:multiLvlStrRef>
          </c:cat>
          <c:val>
            <c:numRef>
              <c:f>Stage!$AI$34:$AI$60</c:f>
              <c:numCache>
                <c:formatCode>0%</c:formatCode>
                <c:ptCount val="27"/>
                <c:pt idx="0">
                  <c:v>1.0920306768922975E-2</c:v>
                </c:pt>
                <c:pt idx="1">
                  <c:v>2.5055679287305122E-2</c:v>
                </c:pt>
                <c:pt idx="2">
                  <c:v>0.20283018867924529</c:v>
                </c:pt>
                <c:pt idx="4">
                  <c:v>0.10718325249698062</c:v>
                </c:pt>
                <c:pt idx="5">
                  <c:v>0.12622623491622537</c:v>
                </c:pt>
                <c:pt idx="6">
                  <c:v>0.43256929637526653</c:v>
                </c:pt>
                <c:pt idx="8">
                  <c:v>0.15043108994981341</c:v>
                </c:pt>
                <c:pt idx="9">
                  <c:v>0.24267352185089974</c:v>
                </c:pt>
                <c:pt idx="10">
                  <c:v>0.44372128637059727</c:v>
                </c:pt>
                <c:pt idx="12">
                  <c:v>9.2495636998254804E-2</c:v>
                </c:pt>
                <c:pt idx="13">
                  <c:v>0.24680073126142596</c:v>
                </c:pt>
                <c:pt idx="14">
                  <c:v>0.41114058355437666</c:v>
                </c:pt>
                <c:pt idx="16">
                  <c:v>0.50545221295702369</c:v>
                </c:pt>
                <c:pt idx="17">
                  <c:v>0.54619565217391308</c:v>
                </c:pt>
                <c:pt idx="18">
                  <c:v>0.84715025906735753</c:v>
                </c:pt>
                <c:pt idx="20">
                  <c:v>6.0110974106041923E-2</c:v>
                </c:pt>
                <c:pt idx="21">
                  <c:v>0.20742358078602621</c:v>
                </c:pt>
                <c:pt idx="22">
                  <c:v>0.48531684698608962</c:v>
                </c:pt>
                <c:pt idx="24">
                  <c:v>8.1035168952697134E-2</c:v>
                </c:pt>
                <c:pt idx="25">
                  <c:v>0.18443133221458344</c:v>
                </c:pt>
                <c:pt idx="26">
                  <c:v>0.44737174627242859</c:v>
                </c:pt>
              </c:numCache>
            </c:numRef>
          </c:val>
        </c:ser>
        <c:dLbls>
          <c:showLegendKey val="0"/>
          <c:showVal val="0"/>
          <c:showCatName val="0"/>
          <c:showSerName val="0"/>
          <c:showPercent val="0"/>
          <c:showBubbleSize val="0"/>
        </c:dLbls>
        <c:gapWidth val="95"/>
        <c:overlap val="100"/>
        <c:axId val="61604224"/>
        <c:axId val="61687296"/>
      </c:barChart>
      <c:catAx>
        <c:axId val="61604224"/>
        <c:scaling>
          <c:orientation val="minMax"/>
        </c:scaling>
        <c:delete val="0"/>
        <c:axPos val="b"/>
        <c:title>
          <c:tx>
            <c:rich>
              <a:bodyPr/>
              <a:lstStyle/>
              <a:p>
                <a:pPr>
                  <a:defRPr/>
                </a:pPr>
                <a:r>
                  <a:rPr lang="en-GB"/>
                  <a:t>Stage and Route to Diagnosis</a:t>
                </a:r>
              </a:p>
            </c:rich>
          </c:tx>
          <c:overlay val="0"/>
        </c:title>
        <c:numFmt formatCode="General" sourceLinked="1"/>
        <c:majorTickMark val="out"/>
        <c:minorTickMark val="none"/>
        <c:tickLblPos val="nextTo"/>
        <c:txPr>
          <a:bodyPr rot="-5400000" vert="horz"/>
          <a:lstStyle/>
          <a:p>
            <a:pPr>
              <a:defRPr/>
            </a:pPr>
            <a:endParaRPr lang="en-US"/>
          </a:p>
        </c:txPr>
        <c:crossAx val="61687296"/>
        <c:crosses val="autoZero"/>
        <c:auto val="1"/>
        <c:lblAlgn val="ctr"/>
        <c:lblOffset val="100"/>
        <c:noMultiLvlLbl val="0"/>
      </c:catAx>
      <c:valAx>
        <c:axId val="61687296"/>
        <c:scaling>
          <c:orientation val="minMax"/>
          <c:max val="1"/>
        </c:scaling>
        <c:delete val="0"/>
        <c:axPos val="l"/>
        <c:majorGridlines>
          <c:spPr>
            <a:ln>
              <a:solidFill>
                <a:schemeClr val="bg1"/>
              </a:solidFill>
            </a:ln>
          </c:spPr>
        </c:majorGridlines>
        <c:title>
          <c:tx>
            <c:rich>
              <a:bodyPr rot="-5400000" vert="horz"/>
              <a:lstStyle/>
              <a:p>
                <a:pPr>
                  <a:defRPr/>
                </a:pPr>
                <a:r>
                  <a:rPr lang="en-GB"/>
                  <a:t>Percentage by treatment modality</a:t>
                </a:r>
              </a:p>
            </c:rich>
          </c:tx>
          <c:layout>
            <c:manualLayout>
              <c:xMode val="edge"/>
              <c:yMode val="edge"/>
              <c:x val="8.6509867531765344E-3"/>
              <c:y val="0.2487182056788356"/>
            </c:manualLayout>
          </c:layout>
          <c:overlay val="0"/>
        </c:title>
        <c:numFmt formatCode="0%" sourceLinked="1"/>
        <c:majorTickMark val="out"/>
        <c:minorTickMark val="none"/>
        <c:tickLblPos val="nextTo"/>
        <c:crossAx val="61604224"/>
        <c:crosses val="autoZero"/>
        <c:crossBetween val="between"/>
      </c:valAx>
      <c:spPr>
        <a:solidFill>
          <a:schemeClr val="bg1">
            <a:lumMod val="85000"/>
          </a:schemeClr>
        </a:solidFill>
      </c:spPr>
    </c:plotArea>
    <c:legend>
      <c:legendPos val="r"/>
      <c:layout>
        <c:manualLayout>
          <c:xMode val="edge"/>
          <c:yMode val="edge"/>
          <c:x val="0.70561803865425898"/>
          <c:y val="0.10493737505609727"/>
          <c:w val="0.19256377952755904"/>
          <c:h val="0.52015702908196637"/>
        </c:manualLayout>
      </c:layout>
      <c:overlay val="0"/>
    </c:legend>
    <c:plotVisOnly val="1"/>
    <c:dispBlanksAs val="gap"/>
    <c:showDLblsOverMax val="0"/>
  </c:chart>
  <c:spPr>
    <a:solidFill>
      <a:srgbClr val="CCE3F1"/>
    </a:solidFill>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Lookups!$H$14</c:f>
          <c:strCache>
            <c:ptCount val="1"/>
            <c:pt idx="0">
              <c:v>Treatment type by Route and Charlson  comorbidity score, 2013-2015, Breast, England</c:v>
            </c:pt>
          </c:strCache>
        </c:strRef>
      </c:tx>
      <c:layout>
        <c:manualLayout>
          <c:xMode val="edge"/>
          <c:yMode val="edge"/>
          <c:x val="8.489391553328561E-2"/>
          <c:y val="1.4097872436432552E-2"/>
        </c:manualLayout>
      </c:layout>
      <c:overlay val="0"/>
      <c:txPr>
        <a:bodyPr/>
        <a:lstStyle/>
        <a:p>
          <a:pPr>
            <a:defRPr/>
          </a:pPr>
          <a:endParaRPr lang="en-US"/>
        </a:p>
      </c:txPr>
    </c:title>
    <c:autoTitleDeleted val="0"/>
    <c:plotArea>
      <c:layout>
        <c:manualLayout>
          <c:layoutTarget val="inner"/>
          <c:xMode val="edge"/>
          <c:yMode val="edge"/>
          <c:x val="8.341732283464566E-2"/>
          <c:y val="6.221151014659753E-2"/>
          <c:w val="0.62007835838701986"/>
          <c:h val="0.587105039657977"/>
        </c:manualLayout>
      </c:layout>
      <c:barChart>
        <c:barDir val="col"/>
        <c:grouping val="stacked"/>
        <c:varyColors val="0"/>
        <c:ser>
          <c:idx val="0"/>
          <c:order val="0"/>
          <c:tx>
            <c:strRef>
              <c:f>Comorbidity!$AC$6</c:f>
              <c:strCache>
                <c:ptCount val="1"/>
                <c:pt idx="0">
                  <c:v>Tumour resection only</c:v>
                </c:pt>
              </c:strCache>
            </c:strRef>
          </c:tx>
          <c:spPr>
            <a:solidFill>
              <a:srgbClr val="00B092"/>
            </a:solidFill>
          </c:spPr>
          <c:invertIfNegative val="0"/>
          <c:cat>
            <c:multiLvlStrRef>
              <c:f>Comorbidity!$AA$7:$AB$37</c:f>
              <c:multiLvlStrCache>
                <c:ptCount val="31"/>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pt idx="24">
                    <c:v>Screen detected</c:v>
                  </c:pt>
                  <c:pt idx="25">
                    <c:v>Two Week Wait</c:v>
                  </c:pt>
                  <c:pt idx="26">
                    <c:v>GP referral</c:v>
                  </c:pt>
                  <c:pt idx="27">
                    <c:v>IP &amp; OP</c:v>
                  </c:pt>
                  <c:pt idx="28">
                    <c:v>Emergency presentation</c:v>
                  </c:pt>
                  <c:pt idx="29">
                    <c:v>Unknown</c:v>
                  </c:pt>
                  <c:pt idx="30">
                    <c:v>All Routes</c:v>
                  </c:pt>
                </c:lvl>
                <c:lvl>
                  <c:pt idx="0">
                    <c:v>0</c:v>
                  </c:pt>
                  <c:pt idx="8">
                    <c:v>1</c:v>
                  </c:pt>
                  <c:pt idx="16">
                    <c:v>2</c:v>
                  </c:pt>
                  <c:pt idx="24">
                    <c:v>3+</c:v>
                  </c:pt>
                </c:lvl>
              </c:multiLvlStrCache>
            </c:multiLvlStrRef>
          </c:cat>
          <c:val>
            <c:numRef>
              <c:f>Comorbidity!$AC$7:$AC$37</c:f>
              <c:numCache>
                <c:formatCode>0%</c:formatCode>
                <c:ptCount val="31"/>
                <c:pt idx="0">
                  <c:v>0.13998006566604126</c:v>
                </c:pt>
                <c:pt idx="1">
                  <c:v>0.14401047740361328</c:v>
                </c:pt>
                <c:pt idx="2">
                  <c:v>0.20393811533052039</c:v>
                </c:pt>
                <c:pt idx="3">
                  <c:v>0.24511469838572641</c:v>
                </c:pt>
                <c:pt idx="4">
                  <c:v>6.7684331797235028E-2</c:v>
                </c:pt>
                <c:pt idx="5">
                  <c:v>0.25749833370362141</c:v>
                </c:pt>
                <c:pt idx="6">
                  <c:v>0.15223768746401514</c:v>
                </c:pt>
                <c:pt idx="8">
                  <c:v>0.16028253192067374</c:v>
                </c:pt>
                <c:pt idx="9">
                  <c:v>0.1889763779527559</c:v>
                </c:pt>
                <c:pt idx="10">
                  <c:v>0.23457730388423459</c:v>
                </c:pt>
                <c:pt idx="11">
                  <c:v>0.19884726224783861</c:v>
                </c:pt>
                <c:pt idx="12">
                  <c:v>6.8298969072164942E-2</c:v>
                </c:pt>
                <c:pt idx="13">
                  <c:v>0.20161290322580644</c:v>
                </c:pt>
                <c:pt idx="14">
                  <c:v>0.17996880721502678</c:v>
                </c:pt>
                <c:pt idx="16">
                  <c:v>0.18169014084507043</c:v>
                </c:pt>
                <c:pt idx="17">
                  <c:v>0.18621399176954734</c:v>
                </c:pt>
                <c:pt idx="18">
                  <c:v>0.23119777158774374</c:v>
                </c:pt>
                <c:pt idx="19">
                  <c:v>0.22299651567944251</c:v>
                </c:pt>
                <c:pt idx="20">
                  <c:v>0.10860655737704918</c:v>
                </c:pt>
                <c:pt idx="21">
                  <c:v>0.30102040816326531</c:v>
                </c:pt>
                <c:pt idx="22">
                  <c:v>0.19246369226743426</c:v>
                </c:pt>
                <c:pt idx="24">
                  <c:v>0.23299565846599132</c:v>
                </c:pt>
                <c:pt idx="25">
                  <c:v>0.17563739376770537</c:v>
                </c:pt>
                <c:pt idx="26">
                  <c:v>0.22733812949640289</c:v>
                </c:pt>
                <c:pt idx="27">
                  <c:v>0.1761006289308176</c:v>
                </c:pt>
                <c:pt idx="28">
                  <c:v>7.4782608695652175E-2</c:v>
                </c:pt>
                <c:pt idx="29">
                  <c:v>0.25490196078431371</c:v>
                </c:pt>
                <c:pt idx="30">
                  <c:v>0.17958961321953876</c:v>
                </c:pt>
              </c:numCache>
            </c:numRef>
          </c:val>
        </c:ser>
        <c:ser>
          <c:idx val="1"/>
          <c:order val="1"/>
          <c:tx>
            <c:strRef>
              <c:f>Comorbidity!$AF$6</c:f>
              <c:strCache>
                <c:ptCount val="1"/>
                <c:pt idx="0">
                  <c:v>Tumour resection
 and Chemotherapy</c:v>
                </c:pt>
              </c:strCache>
            </c:strRef>
          </c:tx>
          <c:spPr>
            <a:solidFill>
              <a:srgbClr val="007E39"/>
            </a:solidFill>
          </c:spPr>
          <c:invertIfNegative val="0"/>
          <c:cat>
            <c:multiLvlStrRef>
              <c:f>Comorbidity!$AA$7:$AB$37</c:f>
              <c:multiLvlStrCache>
                <c:ptCount val="31"/>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pt idx="24">
                    <c:v>Screen detected</c:v>
                  </c:pt>
                  <c:pt idx="25">
                    <c:v>Two Week Wait</c:v>
                  </c:pt>
                  <c:pt idx="26">
                    <c:v>GP referral</c:v>
                  </c:pt>
                  <c:pt idx="27">
                    <c:v>IP &amp; OP</c:v>
                  </c:pt>
                  <c:pt idx="28">
                    <c:v>Emergency presentation</c:v>
                  </c:pt>
                  <c:pt idx="29">
                    <c:v>Unknown</c:v>
                  </c:pt>
                  <c:pt idx="30">
                    <c:v>All Routes</c:v>
                  </c:pt>
                </c:lvl>
                <c:lvl>
                  <c:pt idx="0">
                    <c:v>0</c:v>
                  </c:pt>
                  <c:pt idx="8">
                    <c:v>1</c:v>
                  </c:pt>
                  <c:pt idx="16">
                    <c:v>2</c:v>
                  </c:pt>
                  <c:pt idx="24">
                    <c:v>3+</c:v>
                  </c:pt>
                </c:lvl>
              </c:multiLvlStrCache>
            </c:multiLvlStrRef>
          </c:cat>
          <c:val>
            <c:numRef>
              <c:f>Comorbidity!$AF$7:$AF$37</c:f>
              <c:numCache>
                <c:formatCode>0%</c:formatCode>
                <c:ptCount val="31"/>
                <c:pt idx="0">
                  <c:v>3.8637429643527205E-2</c:v>
                </c:pt>
                <c:pt idx="1">
                  <c:v>7.8329356464952732E-2</c:v>
                </c:pt>
                <c:pt idx="2">
                  <c:v>7.1405387861084066E-2</c:v>
                </c:pt>
                <c:pt idx="3">
                  <c:v>7.7315208156329654E-2</c:v>
                </c:pt>
                <c:pt idx="4">
                  <c:v>1.5841013824884793E-2</c:v>
                </c:pt>
                <c:pt idx="5">
                  <c:v>5.9542323928015999E-2</c:v>
                </c:pt>
                <c:pt idx="6">
                  <c:v>6.2593103700386579E-2</c:v>
                </c:pt>
                <c:pt idx="8">
                  <c:v>4.2379788101059496E-2</c:v>
                </c:pt>
                <c:pt idx="9">
                  <c:v>5.4044380816034361E-2</c:v>
                </c:pt>
                <c:pt idx="10">
                  <c:v>5.4836252856054833E-2</c:v>
                </c:pt>
                <c:pt idx="11">
                  <c:v>7.492795389048991E-2</c:v>
                </c:pt>
                <c:pt idx="12">
                  <c:v>1.4175257731958763E-2</c:v>
                </c:pt>
                <c:pt idx="13">
                  <c:v>7.2580645161290328E-2</c:v>
                </c:pt>
                <c:pt idx="14">
                  <c:v>4.9908455957143827E-2</c:v>
                </c:pt>
                <c:pt idx="16">
                  <c:v>3.873239436619718E-2</c:v>
                </c:pt>
                <c:pt idx="17">
                  <c:v>3.8065843621399177E-2</c:v>
                </c:pt>
                <c:pt idx="18">
                  <c:v>8.4493964716805939E-2</c:v>
                </c:pt>
                <c:pt idx="19">
                  <c:v>8.7108013937282236E-2</c:v>
                </c:pt>
                <c:pt idx="20">
                  <c:v>2.4590163934426229E-2</c:v>
                </c:pt>
                <c:pt idx="21">
                  <c:v>5.1020408163265307E-2</c:v>
                </c:pt>
                <c:pt idx="22">
                  <c:v>4.7886955384011512E-2</c:v>
                </c:pt>
                <c:pt idx="24">
                  <c:v>2.4602026049204053E-2</c:v>
                </c:pt>
                <c:pt idx="25">
                  <c:v>2.2662889518413599E-2</c:v>
                </c:pt>
                <c:pt idx="26">
                  <c:v>3.5971223021582732E-2</c:v>
                </c:pt>
                <c:pt idx="27">
                  <c:v>6.9182389937106917E-2</c:v>
                </c:pt>
                <c:pt idx="28">
                  <c:v>1.0434782608695653E-2</c:v>
                </c:pt>
                <c:pt idx="29">
                  <c:v>1.9607843137254902E-2</c:v>
                </c:pt>
                <c:pt idx="30">
                  <c:v>2.59669511530779E-2</c:v>
                </c:pt>
              </c:numCache>
            </c:numRef>
          </c:val>
        </c:ser>
        <c:ser>
          <c:idx val="2"/>
          <c:order val="2"/>
          <c:tx>
            <c:strRef>
              <c:f>Comorbidity!$AG$6</c:f>
              <c:strCache>
                <c:ptCount val="1"/>
                <c:pt idx="0">
                  <c:v>Tumour resection
 and Radiotherapy</c:v>
                </c:pt>
              </c:strCache>
            </c:strRef>
          </c:tx>
          <c:spPr>
            <a:solidFill>
              <a:srgbClr val="80D2A8"/>
            </a:solidFill>
          </c:spPr>
          <c:invertIfNegative val="0"/>
          <c:cat>
            <c:multiLvlStrRef>
              <c:f>Comorbidity!$AA$7:$AB$37</c:f>
              <c:multiLvlStrCache>
                <c:ptCount val="31"/>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pt idx="24">
                    <c:v>Screen detected</c:v>
                  </c:pt>
                  <c:pt idx="25">
                    <c:v>Two Week Wait</c:v>
                  </c:pt>
                  <c:pt idx="26">
                    <c:v>GP referral</c:v>
                  </c:pt>
                  <c:pt idx="27">
                    <c:v>IP &amp; OP</c:v>
                  </c:pt>
                  <c:pt idx="28">
                    <c:v>Emergency presentation</c:v>
                  </c:pt>
                  <c:pt idx="29">
                    <c:v>Unknown</c:v>
                  </c:pt>
                  <c:pt idx="30">
                    <c:v>All Routes</c:v>
                  </c:pt>
                </c:lvl>
                <c:lvl>
                  <c:pt idx="0">
                    <c:v>0</c:v>
                  </c:pt>
                  <c:pt idx="8">
                    <c:v>1</c:v>
                  </c:pt>
                  <c:pt idx="16">
                    <c:v>2</c:v>
                  </c:pt>
                  <c:pt idx="24">
                    <c:v>3+</c:v>
                  </c:pt>
                </c:lvl>
              </c:multiLvlStrCache>
            </c:multiLvlStrRef>
          </c:cat>
          <c:val>
            <c:numRef>
              <c:f>Comorbidity!$AG$7:$AG$37</c:f>
              <c:numCache>
                <c:formatCode>0%</c:formatCode>
                <c:ptCount val="31"/>
                <c:pt idx="0">
                  <c:v>0.58562969043151969</c:v>
                </c:pt>
                <c:pt idx="1">
                  <c:v>0.26591793896553578</c:v>
                </c:pt>
                <c:pt idx="2">
                  <c:v>0.20404630531212808</c:v>
                </c:pt>
                <c:pt idx="3">
                  <c:v>0.25573491928632114</c:v>
                </c:pt>
                <c:pt idx="4">
                  <c:v>6.1059907834101382E-2</c:v>
                </c:pt>
                <c:pt idx="5">
                  <c:v>0.25261053099311265</c:v>
                </c:pt>
                <c:pt idx="6">
                  <c:v>0.35309492693358679</c:v>
                </c:pt>
                <c:pt idx="8">
                  <c:v>0.58571040478130942</c:v>
                </c:pt>
                <c:pt idx="9">
                  <c:v>0.27487473156764497</c:v>
                </c:pt>
                <c:pt idx="10">
                  <c:v>0.20335110434120335</c:v>
                </c:pt>
                <c:pt idx="11">
                  <c:v>0.26224783861671469</c:v>
                </c:pt>
                <c:pt idx="12">
                  <c:v>6.3144329896907214E-2</c:v>
                </c:pt>
                <c:pt idx="13">
                  <c:v>0.25403225806451613</c:v>
                </c:pt>
                <c:pt idx="14">
                  <c:v>0.33430528243032481</c:v>
                </c:pt>
                <c:pt idx="16">
                  <c:v>0.6049295774647887</c:v>
                </c:pt>
                <c:pt idx="17">
                  <c:v>0.26157407407407407</c:v>
                </c:pt>
                <c:pt idx="18">
                  <c:v>0.22191272051996286</c:v>
                </c:pt>
                <c:pt idx="19">
                  <c:v>0.24041811846689895</c:v>
                </c:pt>
                <c:pt idx="20">
                  <c:v>5.3278688524590161E-2</c:v>
                </c:pt>
                <c:pt idx="21">
                  <c:v>0.27551020408163263</c:v>
                </c:pt>
                <c:pt idx="22">
                  <c:v>0.30524663090409526</c:v>
                </c:pt>
                <c:pt idx="24">
                  <c:v>0.52966714905933432</c:v>
                </c:pt>
                <c:pt idx="25">
                  <c:v>0.20081838212149827</c:v>
                </c:pt>
                <c:pt idx="26">
                  <c:v>0.17122302158273381</c:v>
                </c:pt>
                <c:pt idx="27">
                  <c:v>0.21698113207547171</c:v>
                </c:pt>
                <c:pt idx="28">
                  <c:v>5.2173913043478258E-2</c:v>
                </c:pt>
                <c:pt idx="29">
                  <c:v>0.19607843137254902</c:v>
                </c:pt>
                <c:pt idx="30">
                  <c:v>0.22371527147267115</c:v>
                </c:pt>
              </c:numCache>
            </c:numRef>
          </c:val>
        </c:ser>
        <c:ser>
          <c:idx val="4"/>
          <c:order val="3"/>
          <c:tx>
            <c:strRef>
              <c:f>Comorbidity!$AE$6</c:f>
              <c:strCache>
                <c:ptCount val="1"/>
                <c:pt idx="0">
                  <c:v>Radiotherapy only</c:v>
                </c:pt>
              </c:strCache>
            </c:strRef>
          </c:tx>
          <c:spPr>
            <a:solidFill>
              <a:srgbClr val="00549F"/>
            </a:solidFill>
          </c:spPr>
          <c:invertIfNegative val="0"/>
          <c:cat>
            <c:multiLvlStrRef>
              <c:f>Comorbidity!$AA$7:$AB$37</c:f>
              <c:multiLvlStrCache>
                <c:ptCount val="31"/>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pt idx="24">
                    <c:v>Screen detected</c:v>
                  </c:pt>
                  <c:pt idx="25">
                    <c:v>Two Week Wait</c:v>
                  </c:pt>
                  <c:pt idx="26">
                    <c:v>GP referral</c:v>
                  </c:pt>
                  <c:pt idx="27">
                    <c:v>IP &amp; OP</c:v>
                  </c:pt>
                  <c:pt idx="28">
                    <c:v>Emergency presentation</c:v>
                  </c:pt>
                  <c:pt idx="29">
                    <c:v>Unknown</c:v>
                  </c:pt>
                  <c:pt idx="30">
                    <c:v>All Routes</c:v>
                  </c:pt>
                </c:lvl>
                <c:lvl>
                  <c:pt idx="0">
                    <c:v>0</c:v>
                  </c:pt>
                  <c:pt idx="8">
                    <c:v>1</c:v>
                  </c:pt>
                  <c:pt idx="16">
                    <c:v>2</c:v>
                  </c:pt>
                  <c:pt idx="24">
                    <c:v>3+</c:v>
                  </c:pt>
                </c:lvl>
              </c:multiLvlStrCache>
            </c:multiLvlStrRef>
          </c:cat>
          <c:val>
            <c:numRef>
              <c:f>Comorbidity!$AE$7:$AE$37</c:f>
              <c:numCache>
                <c:formatCode>0%</c:formatCode>
                <c:ptCount val="31"/>
                <c:pt idx="0">
                  <c:v>1.0055112570356474E-2</c:v>
                </c:pt>
                <c:pt idx="1">
                  <c:v>9.0959651231633139E-3</c:v>
                </c:pt>
                <c:pt idx="2">
                  <c:v>5.128205128205128E-2</c:v>
                </c:pt>
                <c:pt idx="3">
                  <c:v>3.7383177570093455E-2</c:v>
                </c:pt>
                <c:pt idx="4">
                  <c:v>9.5046082949308761E-2</c:v>
                </c:pt>
                <c:pt idx="5">
                  <c:v>5.2654965563208173E-2</c:v>
                </c:pt>
                <c:pt idx="6">
                  <c:v>1.8086107785525631E-2</c:v>
                </c:pt>
                <c:pt idx="8">
                  <c:v>4.6183102417821243E-3</c:v>
                </c:pt>
                <c:pt idx="9">
                  <c:v>1.395848246241947E-2</c:v>
                </c:pt>
                <c:pt idx="10">
                  <c:v>5.4836252856054833E-2</c:v>
                </c:pt>
                <c:pt idx="11">
                  <c:v>3.1700288184438041E-2</c:v>
                </c:pt>
                <c:pt idx="12">
                  <c:v>7.4742268041237112E-2</c:v>
                </c:pt>
                <c:pt idx="13">
                  <c:v>5.6451612903225805E-2</c:v>
                </c:pt>
                <c:pt idx="14">
                  <c:v>1.9597206211432835E-2</c:v>
                </c:pt>
                <c:pt idx="16">
                  <c:v>9.1549295774647887E-3</c:v>
                </c:pt>
                <c:pt idx="17">
                  <c:v>1.6203703703703703E-2</c:v>
                </c:pt>
                <c:pt idx="18">
                  <c:v>3.5283194057567316E-2</c:v>
                </c:pt>
                <c:pt idx="19">
                  <c:v>3.3101045296167246E-2</c:v>
                </c:pt>
                <c:pt idx="20">
                  <c:v>5.5327868852459015E-2</c:v>
                </c:pt>
                <c:pt idx="21">
                  <c:v>4.0816326530612242E-2</c:v>
                </c:pt>
                <c:pt idx="22">
                  <c:v>2.198089755331676E-2</c:v>
                </c:pt>
                <c:pt idx="24">
                  <c:v>5.7887120115774236E-3</c:v>
                </c:pt>
                <c:pt idx="25">
                  <c:v>2.7069562480327353E-2</c:v>
                </c:pt>
                <c:pt idx="26">
                  <c:v>4.8920863309352518E-2</c:v>
                </c:pt>
                <c:pt idx="27">
                  <c:v>2.20125786163522E-2</c:v>
                </c:pt>
                <c:pt idx="28">
                  <c:v>3.826086956521739E-2</c:v>
                </c:pt>
                <c:pt idx="29">
                  <c:v>5.8823529411764705E-2</c:v>
                </c:pt>
                <c:pt idx="30">
                  <c:v>2.8327583076084982E-2</c:v>
                </c:pt>
              </c:numCache>
            </c:numRef>
          </c:val>
        </c:ser>
        <c:ser>
          <c:idx val="3"/>
          <c:order val="4"/>
          <c:tx>
            <c:strRef>
              <c:f>Comorbidity!$AD$6</c:f>
              <c:strCache>
                <c:ptCount val="1"/>
                <c:pt idx="0">
                  <c:v>Chemotherapy only</c:v>
                </c:pt>
              </c:strCache>
            </c:strRef>
          </c:tx>
          <c:spPr>
            <a:solidFill>
              <a:srgbClr val="E9994A"/>
            </a:solidFill>
          </c:spPr>
          <c:invertIfNegative val="0"/>
          <c:cat>
            <c:multiLvlStrRef>
              <c:f>Comorbidity!$AA$7:$AB$37</c:f>
              <c:multiLvlStrCache>
                <c:ptCount val="31"/>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pt idx="24">
                    <c:v>Screen detected</c:v>
                  </c:pt>
                  <c:pt idx="25">
                    <c:v>Two Week Wait</c:v>
                  </c:pt>
                  <c:pt idx="26">
                    <c:v>GP referral</c:v>
                  </c:pt>
                  <c:pt idx="27">
                    <c:v>IP &amp; OP</c:v>
                  </c:pt>
                  <c:pt idx="28">
                    <c:v>Emergency presentation</c:v>
                  </c:pt>
                  <c:pt idx="29">
                    <c:v>Unknown</c:v>
                  </c:pt>
                  <c:pt idx="30">
                    <c:v>All Routes</c:v>
                  </c:pt>
                </c:lvl>
                <c:lvl>
                  <c:pt idx="0">
                    <c:v>0</c:v>
                  </c:pt>
                  <c:pt idx="8">
                    <c:v>1</c:v>
                  </c:pt>
                  <c:pt idx="16">
                    <c:v>2</c:v>
                  </c:pt>
                  <c:pt idx="24">
                    <c:v>3+</c:v>
                  </c:pt>
                </c:lvl>
              </c:multiLvlStrCache>
            </c:multiLvlStrRef>
          </c:cat>
          <c:val>
            <c:numRef>
              <c:f>Comorbidity!$AD$7:$AD$37</c:f>
              <c:numCache>
                <c:formatCode>0%</c:formatCode>
                <c:ptCount val="31"/>
                <c:pt idx="0">
                  <c:v>2.9315196998123826E-3</c:v>
                </c:pt>
                <c:pt idx="1">
                  <c:v>1.7276951506126768E-2</c:v>
                </c:pt>
                <c:pt idx="2">
                  <c:v>3.5269934004111221E-2</c:v>
                </c:pt>
                <c:pt idx="3">
                  <c:v>4.4180118946474084E-2</c:v>
                </c:pt>
                <c:pt idx="4">
                  <c:v>6.4804147465437792E-2</c:v>
                </c:pt>
                <c:pt idx="5">
                  <c:v>2.4216840702066207E-2</c:v>
                </c:pt>
                <c:pt idx="6">
                  <c:v>1.6696977728224014E-2</c:v>
                </c:pt>
                <c:pt idx="8">
                  <c:v>2.9883183917413748E-3</c:v>
                </c:pt>
                <c:pt idx="9">
                  <c:v>1.4435695538057743E-2</c:v>
                </c:pt>
                <c:pt idx="10">
                  <c:v>2.1325209444021324E-2</c:v>
                </c:pt>
                <c:pt idx="11">
                  <c:v>3.7463976945244955E-2</c:v>
                </c:pt>
                <c:pt idx="12">
                  <c:v>1.804123711340206E-2</c:v>
                </c:pt>
                <c:pt idx="13">
                  <c:v>1.6129032258064516E-2</c:v>
                </c:pt>
                <c:pt idx="14">
                  <c:v>1.2951786804095748E-2</c:v>
                </c:pt>
                <c:pt idx="16">
                  <c:v>4.2253521126760559E-3</c:v>
                </c:pt>
                <c:pt idx="17">
                  <c:v>1.9804526748971193E-2</c:v>
                </c:pt>
                <c:pt idx="18">
                  <c:v>5.0139275766016712E-2</c:v>
                </c:pt>
                <c:pt idx="19">
                  <c:v>7.4912891986062713E-2</c:v>
                </c:pt>
                <c:pt idx="20">
                  <c:v>4.3032786885245901E-2</c:v>
                </c:pt>
                <c:pt idx="21">
                  <c:v>2.0408163265306121E-2</c:v>
                </c:pt>
                <c:pt idx="22">
                  <c:v>2.6821928562082951E-2</c:v>
                </c:pt>
                <c:pt idx="24">
                  <c:v>1.3024602026049204E-2</c:v>
                </c:pt>
                <c:pt idx="25">
                  <c:v>1.3534781240163676E-2</c:v>
                </c:pt>
                <c:pt idx="26">
                  <c:v>5.4676258992805753E-2</c:v>
                </c:pt>
                <c:pt idx="27">
                  <c:v>4.40251572327044E-2</c:v>
                </c:pt>
                <c:pt idx="28">
                  <c:v>0.04</c:v>
                </c:pt>
                <c:pt idx="29">
                  <c:v>1.9607843137254902E-2</c:v>
                </c:pt>
                <c:pt idx="30">
                  <c:v>2.3243145088069728E-2</c:v>
                </c:pt>
              </c:numCache>
            </c:numRef>
          </c:val>
        </c:ser>
        <c:ser>
          <c:idx val="5"/>
          <c:order val="5"/>
          <c:tx>
            <c:strRef>
              <c:f>Comorbidity!$AH$6</c:f>
              <c:strCache>
                <c:ptCount val="1"/>
                <c:pt idx="0">
                  <c:v>Chemotherapy and Radiotherapy</c:v>
                </c:pt>
              </c:strCache>
            </c:strRef>
          </c:tx>
          <c:spPr>
            <a:solidFill>
              <a:srgbClr val="A0C5D0"/>
            </a:solidFill>
          </c:spPr>
          <c:invertIfNegative val="0"/>
          <c:cat>
            <c:multiLvlStrRef>
              <c:f>Comorbidity!$AA$7:$AB$37</c:f>
              <c:multiLvlStrCache>
                <c:ptCount val="31"/>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pt idx="24">
                    <c:v>Screen detected</c:v>
                  </c:pt>
                  <c:pt idx="25">
                    <c:v>Two Week Wait</c:v>
                  </c:pt>
                  <c:pt idx="26">
                    <c:v>GP referral</c:v>
                  </c:pt>
                  <c:pt idx="27">
                    <c:v>IP &amp; OP</c:v>
                  </c:pt>
                  <c:pt idx="28">
                    <c:v>Emergency presentation</c:v>
                  </c:pt>
                  <c:pt idx="29">
                    <c:v>Unknown</c:v>
                  </c:pt>
                  <c:pt idx="30">
                    <c:v>All Routes</c:v>
                  </c:pt>
                </c:lvl>
                <c:lvl>
                  <c:pt idx="0">
                    <c:v>0</c:v>
                  </c:pt>
                  <c:pt idx="8">
                    <c:v>1</c:v>
                  </c:pt>
                  <c:pt idx="16">
                    <c:v>2</c:v>
                  </c:pt>
                  <c:pt idx="24">
                    <c:v>3+</c:v>
                  </c:pt>
                </c:lvl>
              </c:multiLvlStrCache>
            </c:multiLvlStrRef>
          </c:cat>
          <c:val>
            <c:numRef>
              <c:f>Comorbidity!$AH$7:$AH$37</c:f>
              <c:numCache>
                <c:formatCode>0%</c:formatCode>
                <c:ptCount val="31"/>
                <c:pt idx="0">
                  <c:v>3.8989212007504688E-3</c:v>
                </c:pt>
                <c:pt idx="1">
                  <c:v>1.2038249699492276E-2</c:v>
                </c:pt>
                <c:pt idx="2">
                  <c:v>3.4620794114465003E-2</c:v>
                </c:pt>
                <c:pt idx="3">
                  <c:v>3.610875106202209E-2</c:v>
                </c:pt>
                <c:pt idx="4">
                  <c:v>5.6163594470046083E-2</c:v>
                </c:pt>
                <c:pt idx="5">
                  <c:v>3.0659853365918685E-2</c:v>
                </c:pt>
                <c:pt idx="6">
                  <c:v>1.4092358870783488E-2</c:v>
                </c:pt>
                <c:pt idx="8">
                  <c:v>2.1733224667209996E-3</c:v>
                </c:pt>
                <c:pt idx="9">
                  <c:v>9.54426151276545E-3</c:v>
                </c:pt>
                <c:pt idx="10">
                  <c:v>1.5232292460015232E-2</c:v>
                </c:pt>
                <c:pt idx="11">
                  <c:v>1.7291066282420751E-2</c:v>
                </c:pt>
                <c:pt idx="12">
                  <c:v>2.4484536082474227E-2</c:v>
                </c:pt>
                <c:pt idx="13">
                  <c:v>8.0645161290322578E-3</c:v>
                </c:pt>
                <c:pt idx="14">
                  <c:v>9.1544042856174131E-3</c:v>
                </c:pt>
                <c:pt idx="16">
                  <c:v>2.112676056338028E-3</c:v>
                </c:pt>
                <c:pt idx="17">
                  <c:v>7.716049382716049E-3</c:v>
                </c:pt>
                <c:pt idx="18">
                  <c:v>3.4354688950789226E-2</c:v>
                </c:pt>
                <c:pt idx="19">
                  <c:v>4.1811846689895474E-2</c:v>
                </c:pt>
                <c:pt idx="20">
                  <c:v>2.2540983606557378E-2</c:v>
                </c:pt>
                <c:pt idx="21">
                  <c:v>5.1020408163265302E-3</c:v>
                </c:pt>
                <c:pt idx="22">
                  <c:v>1.3868899646735575E-2</c:v>
                </c:pt>
                <c:pt idx="24">
                  <c:v>1.4471780028943559E-3</c:v>
                </c:pt>
                <c:pt idx="25">
                  <c:v>5.9804847340258109E-3</c:v>
                </c:pt>
                <c:pt idx="26">
                  <c:v>2.0143884892086329E-2</c:v>
                </c:pt>
                <c:pt idx="27">
                  <c:v>1.8867924528301886E-2</c:v>
                </c:pt>
                <c:pt idx="28">
                  <c:v>1.0434782608695653E-2</c:v>
                </c:pt>
                <c:pt idx="29">
                  <c:v>0</c:v>
                </c:pt>
                <c:pt idx="30">
                  <c:v>8.3530052660250598E-3</c:v>
                </c:pt>
              </c:numCache>
            </c:numRef>
          </c:val>
        </c:ser>
        <c:ser>
          <c:idx val="6"/>
          <c:order val="6"/>
          <c:tx>
            <c:strRef>
              <c:f>Comorbidity!$AJ$6</c:f>
              <c:strCache>
                <c:ptCount val="1"/>
                <c:pt idx="0">
                  <c:v>Resection, Chemotherapy and Radiotherapy</c:v>
                </c:pt>
              </c:strCache>
            </c:strRef>
          </c:tx>
          <c:spPr>
            <a:solidFill>
              <a:schemeClr val="accent5">
                <a:lumMod val="75000"/>
              </a:schemeClr>
            </a:solidFill>
          </c:spPr>
          <c:invertIfNegative val="0"/>
          <c:cat>
            <c:multiLvlStrRef>
              <c:f>Comorbidity!$AA$7:$AB$37</c:f>
              <c:multiLvlStrCache>
                <c:ptCount val="31"/>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pt idx="24">
                    <c:v>Screen detected</c:v>
                  </c:pt>
                  <c:pt idx="25">
                    <c:v>Two Week Wait</c:v>
                  </c:pt>
                  <c:pt idx="26">
                    <c:v>GP referral</c:v>
                  </c:pt>
                  <c:pt idx="27">
                    <c:v>IP &amp; OP</c:v>
                  </c:pt>
                  <c:pt idx="28">
                    <c:v>Emergency presentation</c:v>
                  </c:pt>
                  <c:pt idx="29">
                    <c:v>Unknown</c:v>
                  </c:pt>
                  <c:pt idx="30">
                    <c:v>All Routes</c:v>
                  </c:pt>
                </c:lvl>
                <c:lvl>
                  <c:pt idx="0">
                    <c:v>0</c:v>
                  </c:pt>
                  <c:pt idx="8">
                    <c:v>1</c:v>
                  </c:pt>
                  <c:pt idx="16">
                    <c:v>2</c:v>
                  </c:pt>
                  <c:pt idx="24">
                    <c:v>3+</c:v>
                  </c:pt>
                </c:lvl>
              </c:multiLvlStrCache>
            </c:multiLvlStrRef>
          </c:cat>
          <c:val>
            <c:numRef>
              <c:f>Comorbidity!$AJ$7:$AJ$37</c:f>
              <c:numCache>
                <c:formatCode>0%</c:formatCode>
                <c:ptCount val="31"/>
                <c:pt idx="0">
                  <c:v>0.1995485459662289</c:v>
                </c:pt>
                <c:pt idx="1">
                  <c:v>0.37501569816466029</c:v>
                </c:pt>
                <c:pt idx="2">
                  <c:v>0.19604024667315806</c:v>
                </c:pt>
                <c:pt idx="3">
                  <c:v>0.15505522514868308</c:v>
                </c:pt>
                <c:pt idx="4">
                  <c:v>6.7396313364055299E-2</c:v>
                </c:pt>
                <c:pt idx="5">
                  <c:v>0.14530104421239726</c:v>
                </c:pt>
                <c:pt idx="6">
                  <c:v>0.28125314153590264</c:v>
                </c:pt>
                <c:pt idx="8">
                  <c:v>0.17631078511274109</c:v>
                </c:pt>
                <c:pt idx="9">
                  <c:v>0.20794559770937723</c:v>
                </c:pt>
                <c:pt idx="10">
                  <c:v>0.12261995430312261</c:v>
                </c:pt>
                <c:pt idx="11">
                  <c:v>0.11527377521613832</c:v>
                </c:pt>
                <c:pt idx="12">
                  <c:v>3.0927835051546393E-2</c:v>
                </c:pt>
                <c:pt idx="13">
                  <c:v>0.15322580645161291</c:v>
                </c:pt>
                <c:pt idx="14">
                  <c:v>0.18003661761714246</c:v>
                </c:pt>
                <c:pt idx="16">
                  <c:v>0.12253521126760564</c:v>
                </c:pt>
                <c:pt idx="17">
                  <c:v>0.14326131687242799</c:v>
                </c:pt>
                <c:pt idx="18">
                  <c:v>0.10306406685236769</c:v>
                </c:pt>
                <c:pt idx="19">
                  <c:v>0.1289198606271777</c:v>
                </c:pt>
                <c:pt idx="20">
                  <c:v>2.4590163934426229E-2</c:v>
                </c:pt>
                <c:pt idx="21">
                  <c:v>0.10204081632653061</c:v>
                </c:pt>
                <c:pt idx="22">
                  <c:v>0.12403506476514457</c:v>
                </c:pt>
                <c:pt idx="24">
                  <c:v>0.10130246020260492</c:v>
                </c:pt>
                <c:pt idx="25">
                  <c:v>6.3581995593327043E-2</c:v>
                </c:pt>
                <c:pt idx="26">
                  <c:v>4.3165467625899283E-2</c:v>
                </c:pt>
                <c:pt idx="27">
                  <c:v>8.4905660377358486E-2</c:v>
                </c:pt>
                <c:pt idx="28">
                  <c:v>5.2173913043478265E-3</c:v>
                </c:pt>
                <c:pt idx="29">
                  <c:v>5.8823529411764705E-2</c:v>
                </c:pt>
                <c:pt idx="30">
                  <c:v>6.0831668785182494E-2</c:v>
                </c:pt>
              </c:numCache>
            </c:numRef>
          </c:val>
        </c:ser>
        <c:ser>
          <c:idx val="7"/>
          <c:order val="7"/>
          <c:tx>
            <c:strRef>
              <c:f>Comorbidity!$AI$6</c:f>
              <c:strCache>
                <c:ptCount val="1"/>
                <c:pt idx="0">
                  <c:v>Other care</c:v>
                </c:pt>
              </c:strCache>
            </c:strRef>
          </c:tx>
          <c:spPr>
            <a:solidFill>
              <a:schemeClr val="tx1">
                <a:lumMod val="65000"/>
                <a:lumOff val="35000"/>
              </a:schemeClr>
            </a:solidFill>
          </c:spPr>
          <c:invertIfNegative val="0"/>
          <c:cat>
            <c:multiLvlStrRef>
              <c:f>Comorbidity!$AA$7:$AB$37</c:f>
              <c:multiLvlStrCache>
                <c:ptCount val="31"/>
                <c:lvl>
                  <c:pt idx="0">
                    <c:v>Screen detected</c:v>
                  </c:pt>
                  <c:pt idx="1">
                    <c:v>Two Week Wait</c:v>
                  </c:pt>
                  <c:pt idx="2">
                    <c:v>GP referral</c:v>
                  </c:pt>
                  <c:pt idx="3">
                    <c:v>IP &amp; OP</c:v>
                  </c:pt>
                  <c:pt idx="4">
                    <c:v>Emergency presentation</c:v>
                  </c:pt>
                  <c:pt idx="5">
                    <c:v>Unknown</c:v>
                  </c:pt>
                  <c:pt idx="6">
                    <c:v>All Routes</c:v>
                  </c:pt>
                  <c:pt idx="8">
                    <c:v>Screen detected</c:v>
                  </c:pt>
                  <c:pt idx="9">
                    <c:v>Two Week Wait</c:v>
                  </c:pt>
                  <c:pt idx="10">
                    <c:v>GP referral</c:v>
                  </c:pt>
                  <c:pt idx="11">
                    <c:v>IP &amp; OP</c:v>
                  </c:pt>
                  <c:pt idx="12">
                    <c:v>Emergency presentation</c:v>
                  </c:pt>
                  <c:pt idx="13">
                    <c:v>Unknown</c:v>
                  </c:pt>
                  <c:pt idx="14">
                    <c:v>All Routes</c:v>
                  </c:pt>
                  <c:pt idx="16">
                    <c:v>Screen detected</c:v>
                  </c:pt>
                  <c:pt idx="17">
                    <c:v>Two Week Wait</c:v>
                  </c:pt>
                  <c:pt idx="18">
                    <c:v>GP referral</c:v>
                  </c:pt>
                  <c:pt idx="19">
                    <c:v>IP &amp; OP</c:v>
                  </c:pt>
                  <c:pt idx="20">
                    <c:v>Emergency presentation</c:v>
                  </c:pt>
                  <c:pt idx="21">
                    <c:v>Unknown</c:v>
                  </c:pt>
                  <c:pt idx="22">
                    <c:v>All Routes</c:v>
                  </c:pt>
                  <c:pt idx="24">
                    <c:v>Screen detected</c:v>
                  </c:pt>
                  <c:pt idx="25">
                    <c:v>Two Week Wait</c:v>
                  </c:pt>
                  <c:pt idx="26">
                    <c:v>GP referral</c:v>
                  </c:pt>
                  <c:pt idx="27">
                    <c:v>IP &amp; OP</c:v>
                  </c:pt>
                  <c:pt idx="28">
                    <c:v>Emergency presentation</c:v>
                  </c:pt>
                  <c:pt idx="29">
                    <c:v>Unknown</c:v>
                  </c:pt>
                  <c:pt idx="30">
                    <c:v>All Routes</c:v>
                  </c:pt>
                </c:lvl>
                <c:lvl>
                  <c:pt idx="0">
                    <c:v>0</c:v>
                  </c:pt>
                  <c:pt idx="8">
                    <c:v>1</c:v>
                  </c:pt>
                  <c:pt idx="16">
                    <c:v>2</c:v>
                  </c:pt>
                  <c:pt idx="24">
                    <c:v>3+</c:v>
                  </c:pt>
                </c:lvl>
              </c:multiLvlStrCache>
            </c:multiLvlStrRef>
          </c:cat>
          <c:val>
            <c:numRef>
              <c:f>Comorbidity!$AI$7:$AI$37</c:f>
              <c:numCache>
                <c:formatCode>0%</c:formatCode>
                <c:ptCount val="31"/>
                <c:pt idx="0">
                  <c:v>1.9318714821763602E-2</c:v>
                </c:pt>
                <c:pt idx="1">
                  <c:v>9.8315362672455553E-2</c:v>
                </c:pt>
                <c:pt idx="2">
                  <c:v>0.20339716542248187</c:v>
                </c:pt>
                <c:pt idx="3">
                  <c:v>0.14910790144435004</c:v>
                </c:pt>
                <c:pt idx="4">
                  <c:v>0.57200460829493083</c:v>
                </c:pt>
                <c:pt idx="5">
                  <c:v>0.17751610753165964</c:v>
                </c:pt>
                <c:pt idx="6">
                  <c:v>0.10194569598157575</c:v>
                </c:pt>
                <c:pt idx="8">
                  <c:v>2.5536538983971745E-2</c:v>
                </c:pt>
                <c:pt idx="9">
                  <c:v>0.23622047244094488</c:v>
                </c:pt>
                <c:pt idx="10">
                  <c:v>0.29322162985529321</c:v>
                </c:pt>
                <c:pt idx="11">
                  <c:v>0.26224783861671469</c:v>
                </c:pt>
                <c:pt idx="12">
                  <c:v>0.70618556701030932</c:v>
                </c:pt>
                <c:pt idx="13">
                  <c:v>0.23790322580645162</c:v>
                </c:pt>
                <c:pt idx="14">
                  <c:v>0.21407743947921612</c:v>
                </c:pt>
                <c:pt idx="16">
                  <c:v>3.6619718309859155E-2</c:v>
                </c:pt>
                <c:pt idx="17">
                  <c:v>0.3271604938271605</c:v>
                </c:pt>
                <c:pt idx="18">
                  <c:v>0.23955431754874651</c:v>
                </c:pt>
                <c:pt idx="19">
                  <c:v>0.17073170731707318</c:v>
                </c:pt>
                <c:pt idx="20">
                  <c:v>0.66803278688524592</c:v>
                </c:pt>
                <c:pt idx="21">
                  <c:v>0.20408163265306123</c:v>
                </c:pt>
                <c:pt idx="22">
                  <c:v>0.26769593091717914</c:v>
                </c:pt>
                <c:pt idx="24">
                  <c:v>9.1172214182344433E-2</c:v>
                </c:pt>
                <c:pt idx="25">
                  <c:v>0.49071451054453885</c:v>
                </c:pt>
                <c:pt idx="26">
                  <c:v>0.3985611510791367</c:v>
                </c:pt>
                <c:pt idx="27">
                  <c:v>0.36792452830188677</c:v>
                </c:pt>
                <c:pt idx="28">
                  <c:v>0.768695652173913</c:v>
                </c:pt>
                <c:pt idx="29">
                  <c:v>0.39215686274509803</c:v>
                </c:pt>
                <c:pt idx="30">
                  <c:v>0.44997276193934993</c:v>
                </c:pt>
              </c:numCache>
            </c:numRef>
          </c:val>
        </c:ser>
        <c:dLbls>
          <c:showLegendKey val="0"/>
          <c:showVal val="0"/>
          <c:showCatName val="0"/>
          <c:showSerName val="0"/>
          <c:showPercent val="0"/>
          <c:showBubbleSize val="0"/>
        </c:dLbls>
        <c:gapWidth val="95"/>
        <c:overlap val="100"/>
        <c:axId val="62487168"/>
        <c:axId val="130243968"/>
      </c:barChart>
      <c:catAx>
        <c:axId val="62487168"/>
        <c:scaling>
          <c:orientation val="minMax"/>
        </c:scaling>
        <c:delete val="0"/>
        <c:axPos val="b"/>
        <c:title>
          <c:tx>
            <c:rich>
              <a:bodyPr/>
              <a:lstStyle/>
              <a:p>
                <a:pPr>
                  <a:defRPr/>
                </a:pPr>
                <a:r>
                  <a:rPr lang="en-GB"/>
                  <a:t>Route to Diagnosis and</a:t>
                </a:r>
                <a:r>
                  <a:rPr lang="en-GB" baseline="0"/>
                  <a:t> Charlson comorbidity score</a:t>
                </a:r>
                <a:endParaRPr lang="en-GB"/>
              </a:p>
            </c:rich>
          </c:tx>
          <c:layout/>
          <c:overlay val="0"/>
        </c:title>
        <c:numFmt formatCode="General" sourceLinked="1"/>
        <c:majorTickMark val="out"/>
        <c:minorTickMark val="none"/>
        <c:tickLblPos val="nextTo"/>
        <c:txPr>
          <a:bodyPr rot="-5400000" vert="horz"/>
          <a:lstStyle/>
          <a:p>
            <a:pPr>
              <a:defRPr/>
            </a:pPr>
            <a:endParaRPr lang="en-US"/>
          </a:p>
        </c:txPr>
        <c:crossAx val="130243968"/>
        <c:crosses val="autoZero"/>
        <c:auto val="1"/>
        <c:lblAlgn val="ctr"/>
        <c:lblOffset val="100"/>
        <c:noMultiLvlLbl val="0"/>
      </c:catAx>
      <c:valAx>
        <c:axId val="130243968"/>
        <c:scaling>
          <c:orientation val="minMax"/>
          <c:max val="1"/>
        </c:scaling>
        <c:delete val="0"/>
        <c:axPos val="l"/>
        <c:majorGridlines>
          <c:spPr>
            <a:ln>
              <a:solidFill>
                <a:schemeClr val="bg1"/>
              </a:solidFill>
            </a:ln>
          </c:spPr>
        </c:majorGridlines>
        <c:title>
          <c:tx>
            <c:rich>
              <a:bodyPr rot="-5400000" vert="horz"/>
              <a:lstStyle/>
              <a:p>
                <a:pPr>
                  <a:defRPr/>
                </a:pPr>
                <a:r>
                  <a:rPr lang="en-GB"/>
                  <a:t>Percentage by treatment modality</a:t>
                </a:r>
              </a:p>
            </c:rich>
          </c:tx>
          <c:layout>
            <c:manualLayout>
              <c:xMode val="edge"/>
              <c:yMode val="edge"/>
              <c:x val="8.6509867531765344E-3"/>
              <c:y val="0.2487182056788356"/>
            </c:manualLayout>
          </c:layout>
          <c:overlay val="0"/>
        </c:title>
        <c:numFmt formatCode="0%" sourceLinked="1"/>
        <c:majorTickMark val="out"/>
        <c:minorTickMark val="none"/>
        <c:tickLblPos val="nextTo"/>
        <c:crossAx val="62487168"/>
        <c:crosses val="autoZero"/>
        <c:crossBetween val="between"/>
      </c:valAx>
      <c:spPr>
        <a:solidFill>
          <a:schemeClr val="bg1">
            <a:lumMod val="85000"/>
          </a:schemeClr>
        </a:solidFill>
      </c:spPr>
    </c:plotArea>
    <c:legend>
      <c:legendPos val="r"/>
      <c:layout>
        <c:manualLayout>
          <c:xMode val="edge"/>
          <c:yMode val="edge"/>
          <c:x val="0.7068301598663802"/>
          <c:y val="0.10493733859675047"/>
          <c:w val="0.19256377952755904"/>
          <c:h val="0.52015702908196637"/>
        </c:manualLayout>
      </c:layout>
      <c:overlay val="0"/>
    </c:legend>
    <c:plotVisOnly val="1"/>
    <c:dispBlanksAs val="gap"/>
    <c:showDLblsOverMax val="0"/>
  </c:chart>
  <c:spPr>
    <a:solidFill>
      <a:srgbClr val="CCE3F1"/>
    </a:solidFill>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Lookups!$H$15</c:f>
          <c:strCache>
            <c:ptCount val="1"/>
            <c:pt idx="0">
              <c:v>Treatment type by Charlson comorbidity score and Route, 2013-2015, Breast, England</c:v>
            </c:pt>
          </c:strCache>
        </c:strRef>
      </c:tx>
      <c:layout>
        <c:manualLayout>
          <c:xMode val="edge"/>
          <c:yMode val="edge"/>
          <c:x val="8.489391553328561E-2"/>
          <c:y val="1.4097872436432552E-2"/>
        </c:manualLayout>
      </c:layout>
      <c:overlay val="0"/>
      <c:txPr>
        <a:bodyPr/>
        <a:lstStyle/>
        <a:p>
          <a:pPr>
            <a:defRPr/>
          </a:pPr>
          <a:endParaRPr lang="en-US"/>
        </a:p>
      </c:txPr>
    </c:title>
    <c:autoTitleDeleted val="0"/>
    <c:plotArea>
      <c:layout>
        <c:manualLayout>
          <c:layoutTarget val="inner"/>
          <c:xMode val="edge"/>
          <c:yMode val="edge"/>
          <c:x val="8.341732283464566E-2"/>
          <c:y val="6.221151014659753E-2"/>
          <c:w val="0.62007835838701986"/>
          <c:h val="0.587105039657977"/>
        </c:manualLayout>
      </c:layout>
      <c:barChart>
        <c:barDir val="col"/>
        <c:grouping val="stacked"/>
        <c:varyColors val="0"/>
        <c:ser>
          <c:idx val="0"/>
          <c:order val="0"/>
          <c:tx>
            <c:strRef>
              <c:f>Comorbidity!$AC$6</c:f>
              <c:strCache>
                <c:ptCount val="1"/>
                <c:pt idx="0">
                  <c:v>Tumour resection only</c:v>
                </c:pt>
              </c:strCache>
            </c:strRef>
          </c:tx>
          <c:spPr>
            <a:solidFill>
              <a:srgbClr val="00B092"/>
            </a:solidFill>
          </c:spPr>
          <c:invertIfNegative val="0"/>
          <c:cat>
            <c:multiLvlStrRef>
              <c:f>Comorbidity!$AA$40:$AB$73</c:f>
              <c:multiLvlStrCache>
                <c:ptCount val="34"/>
                <c:lvl>
                  <c:pt idx="0">
                    <c:v>0</c:v>
                  </c:pt>
                  <c:pt idx="1">
                    <c:v>1</c:v>
                  </c:pt>
                  <c:pt idx="2">
                    <c:v>2</c:v>
                  </c:pt>
                  <c:pt idx="3">
                    <c:v>3+</c:v>
                  </c:pt>
                  <c:pt idx="5">
                    <c:v>0</c:v>
                  </c:pt>
                  <c:pt idx="6">
                    <c:v>1</c:v>
                  </c:pt>
                  <c:pt idx="7">
                    <c:v>2</c:v>
                  </c:pt>
                  <c:pt idx="8">
                    <c:v>3+</c:v>
                  </c:pt>
                  <c:pt idx="10">
                    <c:v>0</c:v>
                  </c:pt>
                  <c:pt idx="11">
                    <c:v>1</c:v>
                  </c:pt>
                  <c:pt idx="12">
                    <c:v>2</c:v>
                  </c:pt>
                  <c:pt idx="13">
                    <c:v>3+</c:v>
                  </c:pt>
                  <c:pt idx="15">
                    <c:v>0</c:v>
                  </c:pt>
                  <c:pt idx="16">
                    <c:v>1</c:v>
                  </c:pt>
                  <c:pt idx="17">
                    <c:v>2</c:v>
                  </c:pt>
                  <c:pt idx="18">
                    <c:v>3+</c:v>
                  </c:pt>
                  <c:pt idx="20">
                    <c:v>0</c:v>
                  </c:pt>
                  <c:pt idx="21">
                    <c:v>1</c:v>
                  </c:pt>
                  <c:pt idx="22">
                    <c:v>2</c:v>
                  </c:pt>
                  <c:pt idx="23">
                    <c:v>3+</c:v>
                  </c:pt>
                  <c:pt idx="25">
                    <c:v>0</c:v>
                  </c:pt>
                  <c:pt idx="26">
                    <c:v>1</c:v>
                  </c:pt>
                  <c:pt idx="27">
                    <c:v>2</c:v>
                  </c:pt>
                  <c:pt idx="28">
                    <c:v>3+</c:v>
                  </c:pt>
                  <c:pt idx="30">
                    <c:v>0</c:v>
                  </c:pt>
                  <c:pt idx="31">
                    <c:v>1</c:v>
                  </c:pt>
                  <c:pt idx="32">
                    <c:v>2</c:v>
                  </c:pt>
                  <c:pt idx="33">
                    <c:v>3+</c:v>
                  </c:pt>
                </c:lvl>
                <c:lvl>
                  <c:pt idx="0">
                    <c:v>Screen detected</c:v>
                  </c:pt>
                  <c:pt idx="5">
                    <c:v>Two Week Wait</c:v>
                  </c:pt>
                  <c:pt idx="10">
                    <c:v>GP referral</c:v>
                  </c:pt>
                  <c:pt idx="15">
                    <c:v>IP &amp; OP</c:v>
                  </c:pt>
                  <c:pt idx="20">
                    <c:v>Emergency presentation</c:v>
                  </c:pt>
                  <c:pt idx="25">
                    <c:v>Unknown</c:v>
                  </c:pt>
                  <c:pt idx="30">
                    <c:v>All Routes</c:v>
                  </c:pt>
                </c:lvl>
              </c:multiLvlStrCache>
            </c:multiLvlStrRef>
          </c:cat>
          <c:val>
            <c:numRef>
              <c:f>Comorbidity!$AC$40:$AC$73</c:f>
              <c:numCache>
                <c:formatCode>0%</c:formatCode>
                <c:ptCount val="34"/>
                <c:pt idx="0">
                  <c:v>0.13998006566604126</c:v>
                </c:pt>
                <c:pt idx="1">
                  <c:v>0.16028253192067374</c:v>
                </c:pt>
                <c:pt idx="2">
                  <c:v>0.18169014084507043</c:v>
                </c:pt>
                <c:pt idx="3">
                  <c:v>0.23299565846599132</c:v>
                </c:pt>
                <c:pt idx="5">
                  <c:v>0.14401047740361328</c:v>
                </c:pt>
                <c:pt idx="6">
                  <c:v>0.1889763779527559</c:v>
                </c:pt>
                <c:pt idx="7">
                  <c:v>0.18621399176954734</c:v>
                </c:pt>
                <c:pt idx="8">
                  <c:v>0.17563739376770537</c:v>
                </c:pt>
                <c:pt idx="10">
                  <c:v>0.20393811533052039</c:v>
                </c:pt>
                <c:pt idx="11">
                  <c:v>0.23457730388423459</c:v>
                </c:pt>
                <c:pt idx="12">
                  <c:v>0.23119777158774374</c:v>
                </c:pt>
                <c:pt idx="13">
                  <c:v>0.22733812949640289</c:v>
                </c:pt>
                <c:pt idx="15">
                  <c:v>0.24511469838572641</c:v>
                </c:pt>
                <c:pt idx="16">
                  <c:v>0.19884726224783861</c:v>
                </c:pt>
                <c:pt idx="17">
                  <c:v>0.22299651567944251</c:v>
                </c:pt>
                <c:pt idx="18">
                  <c:v>0.1761006289308176</c:v>
                </c:pt>
                <c:pt idx="20">
                  <c:v>6.7684331797235028E-2</c:v>
                </c:pt>
                <c:pt idx="21">
                  <c:v>6.8298969072164942E-2</c:v>
                </c:pt>
                <c:pt idx="22">
                  <c:v>0.10860655737704918</c:v>
                </c:pt>
                <c:pt idx="23">
                  <c:v>7.4782608695652175E-2</c:v>
                </c:pt>
                <c:pt idx="25">
                  <c:v>0.25749833370362141</c:v>
                </c:pt>
                <c:pt idx="26">
                  <c:v>0.20161290322580644</c:v>
                </c:pt>
                <c:pt idx="27">
                  <c:v>0.30102040816326531</c:v>
                </c:pt>
                <c:pt idx="28">
                  <c:v>0.25490196078431371</c:v>
                </c:pt>
                <c:pt idx="30">
                  <c:v>0.15223768746401514</c:v>
                </c:pt>
                <c:pt idx="31">
                  <c:v>0.17996880721502678</c:v>
                </c:pt>
                <c:pt idx="32">
                  <c:v>0.19246369226743426</c:v>
                </c:pt>
                <c:pt idx="33">
                  <c:v>0.17958961321953876</c:v>
                </c:pt>
              </c:numCache>
            </c:numRef>
          </c:val>
        </c:ser>
        <c:ser>
          <c:idx val="1"/>
          <c:order val="1"/>
          <c:tx>
            <c:strRef>
              <c:f>Comorbidity!$AF$6</c:f>
              <c:strCache>
                <c:ptCount val="1"/>
                <c:pt idx="0">
                  <c:v>Tumour resection
 and Chemotherapy</c:v>
                </c:pt>
              </c:strCache>
            </c:strRef>
          </c:tx>
          <c:spPr>
            <a:solidFill>
              <a:srgbClr val="007E39"/>
            </a:solidFill>
          </c:spPr>
          <c:invertIfNegative val="0"/>
          <c:cat>
            <c:multiLvlStrRef>
              <c:f>Comorbidity!$AA$40:$AB$73</c:f>
              <c:multiLvlStrCache>
                <c:ptCount val="34"/>
                <c:lvl>
                  <c:pt idx="0">
                    <c:v>0</c:v>
                  </c:pt>
                  <c:pt idx="1">
                    <c:v>1</c:v>
                  </c:pt>
                  <c:pt idx="2">
                    <c:v>2</c:v>
                  </c:pt>
                  <c:pt idx="3">
                    <c:v>3+</c:v>
                  </c:pt>
                  <c:pt idx="5">
                    <c:v>0</c:v>
                  </c:pt>
                  <c:pt idx="6">
                    <c:v>1</c:v>
                  </c:pt>
                  <c:pt idx="7">
                    <c:v>2</c:v>
                  </c:pt>
                  <c:pt idx="8">
                    <c:v>3+</c:v>
                  </c:pt>
                  <c:pt idx="10">
                    <c:v>0</c:v>
                  </c:pt>
                  <c:pt idx="11">
                    <c:v>1</c:v>
                  </c:pt>
                  <c:pt idx="12">
                    <c:v>2</c:v>
                  </c:pt>
                  <c:pt idx="13">
                    <c:v>3+</c:v>
                  </c:pt>
                  <c:pt idx="15">
                    <c:v>0</c:v>
                  </c:pt>
                  <c:pt idx="16">
                    <c:v>1</c:v>
                  </c:pt>
                  <c:pt idx="17">
                    <c:v>2</c:v>
                  </c:pt>
                  <c:pt idx="18">
                    <c:v>3+</c:v>
                  </c:pt>
                  <c:pt idx="20">
                    <c:v>0</c:v>
                  </c:pt>
                  <c:pt idx="21">
                    <c:v>1</c:v>
                  </c:pt>
                  <c:pt idx="22">
                    <c:v>2</c:v>
                  </c:pt>
                  <c:pt idx="23">
                    <c:v>3+</c:v>
                  </c:pt>
                  <c:pt idx="25">
                    <c:v>0</c:v>
                  </c:pt>
                  <c:pt idx="26">
                    <c:v>1</c:v>
                  </c:pt>
                  <c:pt idx="27">
                    <c:v>2</c:v>
                  </c:pt>
                  <c:pt idx="28">
                    <c:v>3+</c:v>
                  </c:pt>
                  <c:pt idx="30">
                    <c:v>0</c:v>
                  </c:pt>
                  <c:pt idx="31">
                    <c:v>1</c:v>
                  </c:pt>
                  <c:pt idx="32">
                    <c:v>2</c:v>
                  </c:pt>
                  <c:pt idx="33">
                    <c:v>3+</c:v>
                  </c:pt>
                </c:lvl>
                <c:lvl>
                  <c:pt idx="0">
                    <c:v>Screen detected</c:v>
                  </c:pt>
                  <c:pt idx="5">
                    <c:v>Two Week Wait</c:v>
                  </c:pt>
                  <c:pt idx="10">
                    <c:v>GP referral</c:v>
                  </c:pt>
                  <c:pt idx="15">
                    <c:v>IP &amp; OP</c:v>
                  </c:pt>
                  <c:pt idx="20">
                    <c:v>Emergency presentation</c:v>
                  </c:pt>
                  <c:pt idx="25">
                    <c:v>Unknown</c:v>
                  </c:pt>
                  <c:pt idx="30">
                    <c:v>All Routes</c:v>
                  </c:pt>
                </c:lvl>
              </c:multiLvlStrCache>
            </c:multiLvlStrRef>
          </c:cat>
          <c:val>
            <c:numRef>
              <c:f>Comorbidity!$AF$40:$AF$73</c:f>
              <c:numCache>
                <c:formatCode>0%</c:formatCode>
                <c:ptCount val="34"/>
                <c:pt idx="0">
                  <c:v>3.8637429643527205E-2</c:v>
                </c:pt>
                <c:pt idx="1">
                  <c:v>4.2379788101059496E-2</c:v>
                </c:pt>
                <c:pt idx="2">
                  <c:v>3.873239436619718E-2</c:v>
                </c:pt>
                <c:pt idx="3">
                  <c:v>2.4602026049204053E-2</c:v>
                </c:pt>
                <c:pt idx="5">
                  <c:v>7.8329356464952732E-2</c:v>
                </c:pt>
                <c:pt idx="6">
                  <c:v>5.4044380816034361E-2</c:v>
                </c:pt>
                <c:pt idx="7">
                  <c:v>3.8065843621399177E-2</c:v>
                </c:pt>
                <c:pt idx="8">
                  <c:v>2.2662889518413599E-2</c:v>
                </c:pt>
                <c:pt idx="10">
                  <c:v>7.1405387861084066E-2</c:v>
                </c:pt>
                <c:pt idx="11">
                  <c:v>5.4836252856054833E-2</c:v>
                </c:pt>
                <c:pt idx="12">
                  <c:v>8.4493964716805939E-2</c:v>
                </c:pt>
                <c:pt idx="13">
                  <c:v>3.5971223021582732E-2</c:v>
                </c:pt>
                <c:pt idx="15">
                  <c:v>7.7315208156329654E-2</c:v>
                </c:pt>
                <c:pt idx="16">
                  <c:v>7.492795389048991E-2</c:v>
                </c:pt>
                <c:pt idx="17">
                  <c:v>8.7108013937282236E-2</c:v>
                </c:pt>
                <c:pt idx="18">
                  <c:v>6.9182389937106917E-2</c:v>
                </c:pt>
                <c:pt idx="20">
                  <c:v>1.5841013824884793E-2</c:v>
                </c:pt>
                <c:pt idx="21">
                  <c:v>1.4175257731958763E-2</c:v>
                </c:pt>
                <c:pt idx="22">
                  <c:v>2.4590163934426229E-2</c:v>
                </c:pt>
                <c:pt idx="23">
                  <c:v>1.0434782608695653E-2</c:v>
                </c:pt>
                <c:pt idx="25">
                  <c:v>5.9542323928015999E-2</c:v>
                </c:pt>
                <c:pt idx="26">
                  <c:v>7.2580645161290328E-2</c:v>
                </c:pt>
                <c:pt idx="27">
                  <c:v>5.1020408163265307E-2</c:v>
                </c:pt>
                <c:pt idx="28">
                  <c:v>1.9607843137254902E-2</c:v>
                </c:pt>
                <c:pt idx="30">
                  <c:v>6.2593103700386579E-2</c:v>
                </c:pt>
                <c:pt idx="31">
                  <c:v>4.9908455957143827E-2</c:v>
                </c:pt>
                <c:pt idx="32">
                  <c:v>4.7886955384011512E-2</c:v>
                </c:pt>
                <c:pt idx="33">
                  <c:v>2.59669511530779E-2</c:v>
                </c:pt>
              </c:numCache>
            </c:numRef>
          </c:val>
        </c:ser>
        <c:ser>
          <c:idx val="2"/>
          <c:order val="2"/>
          <c:tx>
            <c:strRef>
              <c:f>Comorbidity!$AG$6</c:f>
              <c:strCache>
                <c:ptCount val="1"/>
                <c:pt idx="0">
                  <c:v>Tumour resection
 and Radiotherapy</c:v>
                </c:pt>
              </c:strCache>
            </c:strRef>
          </c:tx>
          <c:spPr>
            <a:solidFill>
              <a:srgbClr val="80D2A8"/>
            </a:solidFill>
          </c:spPr>
          <c:invertIfNegative val="0"/>
          <c:cat>
            <c:multiLvlStrRef>
              <c:f>Comorbidity!$AA$40:$AB$73</c:f>
              <c:multiLvlStrCache>
                <c:ptCount val="34"/>
                <c:lvl>
                  <c:pt idx="0">
                    <c:v>0</c:v>
                  </c:pt>
                  <c:pt idx="1">
                    <c:v>1</c:v>
                  </c:pt>
                  <c:pt idx="2">
                    <c:v>2</c:v>
                  </c:pt>
                  <c:pt idx="3">
                    <c:v>3+</c:v>
                  </c:pt>
                  <c:pt idx="5">
                    <c:v>0</c:v>
                  </c:pt>
                  <c:pt idx="6">
                    <c:v>1</c:v>
                  </c:pt>
                  <c:pt idx="7">
                    <c:v>2</c:v>
                  </c:pt>
                  <c:pt idx="8">
                    <c:v>3+</c:v>
                  </c:pt>
                  <c:pt idx="10">
                    <c:v>0</c:v>
                  </c:pt>
                  <c:pt idx="11">
                    <c:v>1</c:v>
                  </c:pt>
                  <c:pt idx="12">
                    <c:v>2</c:v>
                  </c:pt>
                  <c:pt idx="13">
                    <c:v>3+</c:v>
                  </c:pt>
                  <c:pt idx="15">
                    <c:v>0</c:v>
                  </c:pt>
                  <c:pt idx="16">
                    <c:v>1</c:v>
                  </c:pt>
                  <c:pt idx="17">
                    <c:v>2</c:v>
                  </c:pt>
                  <c:pt idx="18">
                    <c:v>3+</c:v>
                  </c:pt>
                  <c:pt idx="20">
                    <c:v>0</c:v>
                  </c:pt>
                  <c:pt idx="21">
                    <c:v>1</c:v>
                  </c:pt>
                  <c:pt idx="22">
                    <c:v>2</c:v>
                  </c:pt>
                  <c:pt idx="23">
                    <c:v>3+</c:v>
                  </c:pt>
                  <c:pt idx="25">
                    <c:v>0</c:v>
                  </c:pt>
                  <c:pt idx="26">
                    <c:v>1</c:v>
                  </c:pt>
                  <c:pt idx="27">
                    <c:v>2</c:v>
                  </c:pt>
                  <c:pt idx="28">
                    <c:v>3+</c:v>
                  </c:pt>
                  <c:pt idx="30">
                    <c:v>0</c:v>
                  </c:pt>
                  <c:pt idx="31">
                    <c:v>1</c:v>
                  </c:pt>
                  <c:pt idx="32">
                    <c:v>2</c:v>
                  </c:pt>
                  <c:pt idx="33">
                    <c:v>3+</c:v>
                  </c:pt>
                </c:lvl>
                <c:lvl>
                  <c:pt idx="0">
                    <c:v>Screen detected</c:v>
                  </c:pt>
                  <c:pt idx="5">
                    <c:v>Two Week Wait</c:v>
                  </c:pt>
                  <c:pt idx="10">
                    <c:v>GP referral</c:v>
                  </c:pt>
                  <c:pt idx="15">
                    <c:v>IP &amp; OP</c:v>
                  </c:pt>
                  <c:pt idx="20">
                    <c:v>Emergency presentation</c:v>
                  </c:pt>
                  <c:pt idx="25">
                    <c:v>Unknown</c:v>
                  </c:pt>
                  <c:pt idx="30">
                    <c:v>All Routes</c:v>
                  </c:pt>
                </c:lvl>
              </c:multiLvlStrCache>
            </c:multiLvlStrRef>
          </c:cat>
          <c:val>
            <c:numRef>
              <c:f>Comorbidity!$AG$40:$AG$73</c:f>
              <c:numCache>
                <c:formatCode>0%</c:formatCode>
                <c:ptCount val="34"/>
                <c:pt idx="0">
                  <c:v>0.58562969043151969</c:v>
                </c:pt>
                <c:pt idx="1">
                  <c:v>0.58571040478130942</c:v>
                </c:pt>
                <c:pt idx="2">
                  <c:v>0.6049295774647887</c:v>
                </c:pt>
                <c:pt idx="3">
                  <c:v>0.52966714905933432</c:v>
                </c:pt>
                <c:pt idx="5">
                  <c:v>0.26591793896553578</c:v>
                </c:pt>
                <c:pt idx="6">
                  <c:v>0.27487473156764497</c:v>
                </c:pt>
                <c:pt idx="7">
                  <c:v>0.26157407407407407</c:v>
                </c:pt>
                <c:pt idx="8">
                  <c:v>0.20081838212149827</c:v>
                </c:pt>
                <c:pt idx="10">
                  <c:v>0.20404630531212808</c:v>
                </c:pt>
                <c:pt idx="11">
                  <c:v>0.20335110434120335</c:v>
                </c:pt>
                <c:pt idx="12">
                  <c:v>0.22191272051996286</c:v>
                </c:pt>
                <c:pt idx="13">
                  <c:v>0.17122302158273381</c:v>
                </c:pt>
                <c:pt idx="15">
                  <c:v>0.25573491928632114</c:v>
                </c:pt>
                <c:pt idx="16">
                  <c:v>0.26224783861671469</c:v>
                </c:pt>
                <c:pt idx="17">
                  <c:v>0.24041811846689895</c:v>
                </c:pt>
                <c:pt idx="18">
                  <c:v>0.21698113207547171</c:v>
                </c:pt>
                <c:pt idx="20">
                  <c:v>6.1059907834101382E-2</c:v>
                </c:pt>
                <c:pt idx="21">
                  <c:v>6.3144329896907214E-2</c:v>
                </c:pt>
                <c:pt idx="22">
                  <c:v>5.3278688524590161E-2</c:v>
                </c:pt>
                <c:pt idx="23">
                  <c:v>5.2173913043478258E-2</c:v>
                </c:pt>
                <c:pt idx="25">
                  <c:v>0.25261053099311265</c:v>
                </c:pt>
                <c:pt idx="26">
                  <c:v>0.25403225806451613</c:v>
                </c:pt>
                <c:pt idx="27">
                  <c:v>0.27551020408163263</c:v>
                </c:pt>
                <c:pt idx="28">
                  <c:v>0.19607843137254902</c:v>
                </c:pt>
                <c:pt idx="30">
                  <c:v>0.35309492693358679</c:v>
                </c:pt>
                <c:pt idx="31">
                  <c:v>0.33430528243032481</c:v>
                </c:pt>
                <c:pt idx="32">
                  <c:v>0.30524663090409526</c:v>
                </c:pt>
                <c:pt idx="33">
                  <c:v>0.22371527147267115</c:v>
                </c:pt>
              </c:numCache>
            </c:numRef>
          </c:val>
        </c:ser>
        <c:ser>
          <c:idx val="4"/>
          <c:order val="3"/>
          <c:tx>
            <c:strRef>
              <c:f>Comorbidity!$AE$6</c:f>
              <c:strCache>
                <c:ptCount val="1"/>
                <c:pt idx="0">
                  <c:v>Radiotherapy only</c:v>
                </c:pt>
              </c:strCache>
            </c:strRef>
          </c:tx>
          <c:spPr>
            <a:solidFill>
              <a:srgbClr val="00549F"/>
            </a:solidFill>
          </c:spPr>
          <c:invertIfNegative val="0"/>
          <c:cat>
            <c:multiLvlStrRef>
              <c:f>Comorbidity!$AA$40:$AB$73</c:f>
              <c:multiLvlStrCache>
                <c:ptCount val="34"/>
                <c:lvl>
                  <c:pt idx="0">
                    <c:v>0</c:v>
                  </c:pt>
                  <c:pt idx="1">
                    <c:v>1</c:v>
                  </c:pt>
                  <c:pt idx="2">
                    <c:v>2</c:v>
                  </c:pt>
                  <c:pt idx="3">
                    <c:v>3+</c:v>
                  </c:pt>
                  <c:pt idx="5">
                    <c:v>0</c:v>
                  </c:pt>
                  <c:pt idx="6">
                    <c:v>1</c:v>
                  </c:pt>
                  <c:pt idx="7">
                    <c:v>2</c:v>
                  </c:pt>
                  <c:pt idx="8">
                    <c:v>3+</c:v>
                  </c:pt>
                  <c:pt idx="10">
                    <c:v>0</c:v>
                  </c:pt>
                  <c:pt idx="11">
                    <c:v>1</c:v>
                  </c:pt>
                  <c:pt idx="12">
                    <c:v>2</c:v>
                  </c:pt>
                  <c:pt idx="13">
                    <c:v>3+</c:v>
                  </c:pt>
                  <c:pt idx="15">
                    <c:v>0</c:v>
                  </c:pt>
                  <c:pt idx="16">
                    <c:v>1</c:v>
                  </c:pt>
                  <c:pt idx="17">
                    <c:v>2</c:v>
                  </c:pt>
                  <c:pt idx="18">
                    <c:v>3+</c:v>
                  </c:pt>
                  <c:pt idx="20">
                    <c:v>0</c:v>
                  </c:pt>
                  <c:pt idx="21">
                    <c:v>1</c:v>
                  </c:pt>
                  <c:pt idx="22">
                    <c:v>2</c:v>
                  </c:pt>
                  <c:pt idx="23">
                    <c:v>3+</c:v>
                  </c:pt>
                  <c:pt idx="25">
                    <c:v>0</c:v>
                  </c:pt>
                  <c:pt idx="26">
                    <c:v>1</c:v>
                  </c:pt>
                  <c:pt idx="27">
                    <c:v>2</c:v>
                  </c:pt>
                  <c:pt idx="28">
                    <c:v>3+</c:v>
                  </c:pt>
                  <c:pt idx="30">
                    <c:v>0</c:v>
                  </c:pt>
                  <c:pt idx="31">
                    <c:v>1</c:v>
                  </c:pt>
                  <c:pt idx="32">
                    <c:v>2</c:v>
                  </c:pt>
                  <c:pt idx="33">
                    <c:v>3+</c:v>
                  </c:pt>
                </c:lvl>
                <c:lvl>
                  <c:pt idx="0">
                    <c:v>Screen detected</c:v>
                  </c:pt>
                  <c:pt idx="5">
                    <c:v>Two Week Wait</c:v>
                  </c:pt>
                  <c:pt idx="10">
                    <c:v>GP referral</c:v>
                  </c:pt>
                  <c:pt idx="15">
                    <c:v>IP &amp; OP</c:v>
                  </c:pt>
                  <c:pt idx="20">
                    <c:v>Emergency presentation</c:v>
                  </c:pt>
                  <c:pt idx="25">
                    <c:v>Unknown</c:v>
                  </c:pt>
                  <c:pt idx="30">
                    <c:v>All Routes</c:v>
                  </c:pt>
                </c:lvl>
              </c:multiLvlStrCache>
            </c:multiLvlStrRef>
          </c:cat>
          <c:val>
            <c:numRef>
              <c:f>Comorbidity!$AE$40:$AE$73</c:f>
              <c:numCache>
                <c:formatCode>0%</c:formatCode>
                <c:ptCount val="34"/>
                <c:pt idx="0">
                  <c:v>1.0055112570356474E-2</c:v>
                </c:pt>
                <c:pt idx="1">
                  <c:v>4.6183102417821243E-3</c:v>
                </c:pt>
                <c:pt idx="2">
                  <c:v>9.1549295774647887E-3</c:v>
                </c:pt>
                <c:pt idx="3">
                  <c:v>5.7887120115774236E-3</c:v>
                </c:pt>
                <c:pt idx="5">
                  <c:v>9.0959651231633139E-3</c:v>
                </c:pt>
                <c:pt idx="6">
                  <c:v>1.395848246241947E-2</c:v>
                </c:pt>
                <c:pt idx="7">
                  <c:v>1.6203703703703703E-2</c:v>
                </c:pt>
                <c:pt idx="8">
                  <c:v>2.7069562480327353E-2</c:v>
                </c:pt>
                <c:pt idx="10">
                  <c:v>5.128205128205128E-2</c:v>
                </c:pt>
                <c:pt idx="11">
                  <c:v>5.4836252856054833E-2</c:v>
                </c:pt>
                <c:pt idx="12">
                  <c:v>3.5283194057567316E-2</c:v>
                </c:pt>
                <c:pt idx="13">
                  <c:v>4.8920863309352518E-2</c:v>
                </c:pt>
                <c:pt idx="15">
                  <c:v>3.7383177570093455E-2</c:v>
                </c:pt>
                <c:pt idx="16">
                  <c:v>3.1700288184438041E-2</c:v>
                </c:pt>
                <c:pt idx="17">
                  <c:v>3.3101045296167246E-2</c:v>
                </c:pt>
                <c:pt idx="18">
                  <c:v>2.20125786163522E-2</c:v>
                </c:pt>
                <c:pt idx="20">
                  <c:v>9.5046082949308761E-2</c:v>
                </c:pt>
                <c:pt idx="21">
                  <c:v>7.4742268041237112E-2</c:v>
                </c:pt>
                <c:pt idx="22">
                  <c:v>5.5327868852459015E-2</c:v>
                </c:pt>
                <c:pt idx="23">
                  <c:v>3.826086956521739E-2</c:v>
                </c:pt>
                <c:pt idx="25">
                  <c:v>5.2654965563208173E-2</c:v>
                </c:pt>
                <c:pt idx="26">
                  <c:v>5.6451612903225805E-2</c:v>
                </c:pt>
                <c:pt idx="27">
                  <c:v>4.0816326530612242E-2</c:v>
                </c:pt>
                <c:pt idx="28">
                  <c:v>5.8823529411764705E-2</c:v>
                </c:pt>
                <c:pt idx="30">
                  <c:v>1.8086107785525631E-2</c:v>
                </c:pt>
                <c:pt idx="31">
                  <c:v>1.9597206211432835E-2</c:v>
                </c:pt>
                <c:pt idx="32">
                  <c:v>2.198089755331676E-2</c:v>
                </c:pt>
                <c:pt idx="33">
                  <c:v>2.8327583076084982E-2</c:v>
                </c:pt>
              </c:numCache>
            </c:numRef>
          </c:val>
        </c:ser>
        <c:ser>
          <c:idx val="3"/>
          <c:order val="4"/>
          <c:tx>
            <c:strRef>
              <c:f>Comorbidity!$AD$6</c:f>
              <c:strCache>
                <c:ptCount val="1"/>
                <c:pt idx="0">
                  <c:v>Chemotherapy only</c:v>
                </c:pt>
              </c:strCache>
            </c:strRef>
          </c:tx>
          <c:spPr>
            <a:solidFill>
              <a:srgbClr val="E9994A"/>
            </a:solidFill>
          </c:spPr>
          <c:invertIfNegative val="0"/>
          <c:cat>
            <c:multiLvlStrRef>
              <c:f>Comorbidity!$AA$40:$AB$73</c:f>
              <c:multiLvlStrCache>
                <c:ptCount val="34"/>
                <c:lvl>
                  <c:pt idx="0">
                    <c:v>0</c:v>
                  </c:pt>
                  <c:pt idx="1">
                    <c:v>1</c:v>
                  </c:pt>
                  <c:pt idx="2">
                    <c:v>2</c:v>
                  </c:pt>
                  <c:pt idx="3">
                    <c:v>3+</c:v>
                  </c:pt>
                  <c:pt idx="5">
                    <c:v>0</c:v>
                  </c:pt>
                  <c:pt idx="6">
                    <c:v>1</c:v>
                  </c:pt>
                  <c:pt idx="7">
                    <c:v>2</c:v>
                  </c:pt>
                  <c:pt idx="8">
                    <c:v>3+</c:v>
                  </c:pt>
                  <c:pt idx="10">
                    <c:v>0</c:v>
                  </c:pt>
                  <c:pt idx="11">
                    <c:v>1</c:v>
                  </c:pt>
                  <c:pt idx="12">
                    <c:v>2</c:v>
                  </c:pt>
                  <c:pt idx="13">
                    <c:v>3+</c:v>
                  </c:pt>
                  <c:pt idx="15">
                    <c:v>0</c:v>
                  </c:pt>
                  <c:pt idx="16">
                    <c:v>1</c:v>
                  </c:pt>
                  <c:pt idx="17">
                    <c:v>2</c:v>
                  </c:pt>
                  <c:pt idx="18">
                    <c:v>3+</c:v>
                  </c:pt>
                  <c:pt idx="20">
                    <c:v>0</c:v>
                  </c:pt>
                  <c:pt idx="21">
                    <c:v>1</c:v>
                  </c:pt>
                  <c:pt idx="22">
                    <c:v>2</c:v>
                  </c:pt>
                  <c:pt idx="23">
                    <c:v>3+</c:v>
                  </c:pt>
                  <c:pt idx="25">
                    <c:v>0</c:v>
                  </c:pt>
                  <c:pt idx="26">
                    <c:v>1</c:v>
                  </c:pt>
                  <c:pt idx="27">
                    <c:v>2</c:v>
                  </c:pt>
                  <c:pt idx="28">
                    <c:v>3+</c:v>
                  </c:pt>
                  <c:pt idx="30">
                    <c:v>0</c:v>
                  </c:pt>
                  <c:pt idx="31">
                    <c:v>1</c:v>
                  </c:pt>
                  <c:pt idx="32">
                    <c:v>2</c:v>
                  </c:pt>
                  <c:pt idx="33">
                    <c:v>3+</c:v>
                  </c:pt>
                </c:lvl>
                <c:lvl>
                  <c:pt idx="0">
                    <c:v>Screen detected</c:v>
                  </c:pt>
                  <c:pt idx="5">
                    <c:v>Two Week Wait</c:v>
                  </c:pt>
                  <c:pt idx="10">
                    <c:v>GP referral</c:v>
                  </c:pt>
                  <c:pt idx="15">
                    <c:v>IP &amp; OP</c:v>
                  </c:pt>
                  <c:pt idx="20">
                    <c:v>Emergency presentation</c:v>
                  </c:pt>
                  <c:pt idx="25">
                    <c:v>Unknown</c:v>
                  </c:pt>
                  <c:pt idx="30">
                    <c:v>All Routes</c:v>
                  </c:pt>
                </c:lvl>
              </c:multiLvlStrCache>
            </c:multiLvlStrRef>
          </c:cat>
          <c:val>
            <c:numRef>
              <c:f>Comorbidity!$AD$40:$AD$73</c:f>
              <c:numCache>
                <c:formatCode>0%</c:formatCode>
                <c:ptCount val="34"/>
                <c:pt idx="0">
                  <c:v>2.9315196998123826E-3</c:v>
                </c:pt>
                <c:pt idx="1">
                  <c:v>2.9883183917413748E-3</c:v>
                </c:pt>
                <c:pt idx="2">
                  <c:v>4.2253521126760559E-3</c:v>
                </c:pt>
                <c:pt idx="3">
                  <c:v>1.3024602026049204E-2</c:v>
                </c:pt>
                <c:pt idx="5">
                  <c:v>1.7276951506126768E-2</c:v>
                </c:pt>
                <c:pt idx="6">
                  <c:v>1.4435695538057743E-2</c:v>
                </c:pt>
                <c:pt idx="7">
                  <c:v>1.9804526748971193E-2</c:v>
                </c:pt>
                <c:pt idx="8">
                  <c:v>1.3534781240163676E-2</c:v>
                </c:pt>
                <c:pt idx="10">
                  <c:v>3.5269934004111221E-2</c:v>
                </c:pt>
                <c:pt idx="11">
                  <c:v>2.1325209444021324E-2</c:v>
                </c:pt>
                <c:pt idx="12">
                  <c:v>5.0139275766016712E-2</c:v>
                </c:pt>
                <c:pt idx="13">
                  <c:v>5.4676258992805753E-2</c:v>
                </c:pt>
                <c:pt idx="15">
                  <c:v>4.4180118946474084E-2</c:v>
                </c:pt>
                <c:pt idx="16">
                  <c:v>3.7463976945244955E-2</c:v>
                </c:pt>
                <c:pt idx="17">
                  <c:v>7.4912891986062713E-2</c:v>
                </c:pt>
                <c:pt idx="18">
                  <c:v>4.40251572327044E-2</c:v>
                </c:pt>
                <c:pt idx="20">
                  <c:v>6.4804147465437792E-2</c:v>
                </c:pt>
                <c:pt idx="21">
                  <c:v>1.804123711340206E-2</c:v>
                </c:pt>
                <c:pt idx="22">
                  <c:v>4.3032786885245901E-2</c:v>
                </c:pt>
                <c:pt idx="23">
                  <c:v>0.04</c:v>
                </c:pt>
                <c:pt idx="25">
                  <c:v>2.4216840702066207E-2</c:v>
                </c:pt>
                <c:pt idx="26">
                  <c:v>1.6129032258064516E-2</c:v>
                </c:pt>
                <c:pt idx="27">
                  <c:v>2.0408163265306121E-2</c:v>
                </c:pt>
                <c:pt idx="28">
                  <c:v>1.9607843137254902E-2</c:v>
                </c:pt>
                <c:pt idx="30">
                  <c:v>1.6696977728224014E-2</c:v>
                </c:pt>
                <c:pt idx="31">
                  <c:v>1.2951786804095748E-2</c:v>
                </c:pt>
                <c:pt idx="32">
                  <c:v>2.6821928562082951E-2</c:v>
                </c:pt>
                <c:pt idx="33">
                  <c:v>2.3243145088069728E-2</c:v>
                </c:pt>
              </c:numCache>
            </c:numRef>
          </c:val>
        </c:ser>
        <c:ser>
          <c:idx val="5"/>
          <c:order val="5"/>
          <c:tx>
            <c:strRef>
              <c:f>Comorbidity!$AH$6</c:f>
              <c:strCache>
                <c:ptCount val="1"/>
                <c:pt idx="0">
                  <c:v>Chemotherapy and Radiotherapy</c:v>
                </c:pt>
              </c:strCache>
            </c:strRef>
          </c:tx>
          <c:spPr>
            <a:solidFill>
              <a:srgbClr val="A0C5D0"/>
            </a:solidFill>
          </c:spPr>
          <c:invertIfNegative val="0"/>
          <c:cat>
            <c:multiLvlStrRef>
              <c:f>Comorbidity!$AA$40:$AB$73</c:f>
              <c:multiLvlStrCache>
                <c:ptCount val="34"/>
                <c:lvl>
                  <c:pt idx="0">
                    <c:v>0</c:v>
                  </c:pt>
                  <c:pt idx="1">
                    <c:v>1</c:v>
                  </c:pt>
                  <c:pt idx="2">
                    <c:v>2</c:v>
                  </c:pt>
                  <c:pt idx="3">
                    <c:v>3+</c:v>
                  </c:pt>
                  <c:pt idx="5">
                    <c:v>0</c:v>
                  </c:pt>
                  <c:pt idx="6">
                    <c:v>1</c:v>
                  </c:pt>
                  <c:pt idx="7">
                    <c:v>2</c:v>
                  </c:pt>
                  <c:pt idx="8">
                    <c:v>3+</c:v>
                  </c:pt>
                  <c:pt idx="10">
                    <c:v>0</c:v>
                  </c:pt>
                  <c:pt idx="11">
                    <c:v>1</c:v>
                  </c:pt>
                  <c:pt idx="12">
                    <c:v>2</c:v>
                  </c:pt>
                  <c:pt idx="13">
                    <c:v>3+</c:v>
                  </c:pt>
                  <c:pt idx="15">
                    <c:v>0</c:v>
                  </c:pt>
                  <c:pt idx="16">
                    <c:v>1</c:v>
                  </c:pt>
                  <c:pt idx="17">
                    <c:v>2</c:v>
                  </c:pt>
                  <c:pt idx="18">
                    <c:v>3+</c:v>
                  </c:pt>
                  <c:pt idx="20">
                    <c:v>0</c:v>
                  </c:pt>
                  <c:pt idx="21">
                    <c:v>1</c:v>
                  </c:pt>
                  <c:pt idx="22">
                    <c:v>2</c:v>
                  </c:pt>
                  <c:pt idx="23">
                    <c:v>3+</c:v>
                  </c:pt>
                  <c:pt idx="25">
                    <c:v>0</c:v>
                  </c:pt>
                  <c:pt idx="26">
                    <c:v>1</c:v>
                  </c:pt>
                  <c:pt idx="27">
                    <c:v>2</c:v>
                  </c:pt>
                  <c:pt idx="28">
                    <c:v>3+</c:v>
                  </c:pt>
                  <c:pt idx="30">
                    <c:v>0</c:v>
                  </c:pt>
                  <c:pt idx="31">
                    <c:v>1</c:v>
                  </c:pt>
                  <c:pt idx="32">
                    <c:v>2</c:v>
                  </c:pt>
                  <c:pt idx="33">
                    <c:v>3+</c:v>
                  </c:pt>
                </c:lvl>
                <c:lvl>
                  <c:pt idx="0">
                    <c:v>Screen detected</c:v>
                  </c:pt>
                  <c:pt idx="5">
                    <c:v>Two Week Wait</c:v>
                  </c:pt>
                  <c:pt idx="10">
                    <c:v>GP referral</c:v>
                  </c:pt>
                  <c:pt idx="15">
                    <c:v>IP &amp; OP</c:v>
                  </c:pt>
                  <c:pt idx="20">
                    <c:v>Emergency presentation</c:v>
                  </c:pt>
                  <c:pt idx="25">
                    <c:v>Unknown</c:v>
                  </c:pt>
                  <c:pt idx="30">
                    <c:v>All Routes</c:v>
                  </c:pt>
                </c:lvl>
              </c:multiLvlStrCache>
            </c:multiLvlStrRef>
          </c:cat>
          <c:val>
            <c:numRef>
              <c:f>Comorbidity!$AH$40:$AH$73</c:f>
              <c:numCache>
                <c:formatCode>0%</c:formatCode>
                <c:ptCount val="34"/>
                <c:pt idx="0">
                  <c:v>3.8989212007504688E-3</c:v>
                </c:pt>
                <c:pt idx="1">
                  <c:v>2.1733224667209996E-3</c:v>
                </c:pt>
                <c:pt idx="2">
                  <c:v>2.112676056338028E-3</c:v>
                </c:pt>
                <c:pt idx="3">
                  <c:v>1.4471780028943559E-3</c:v>
                </c:pt>
                <c:pt idx="5">
                  <c:v>1.2038249699492276E-2</c:v>
                </c:pt>
                <c:pt idx="6">
                  <c:v>9.54426151276545E-3</c:v>
                </c:pt>
                <c:pt idx="7">
                  <c:v>7.716049382716049E-3</c:v>
                </c:pt>
                <c:pt idx="8">
                  <c:v>5.9804847340258109E-3</c:v>
                </c:pt>
                <c:pt idx="10">
                  <c:v>3.4620794114465003E-2</c:v>
                </c:pt>
                <c:pt idx="11">
                  <c:v>1.5232292460015232E-2</c:v>
                </c:pt>
                <c:pt idx="12">
                  <c:v>3.4354688950789226E-2</c:v>
                </c:pt>
                <c:pt idx="13">
                  <c:v>2.0143884892086329E-2</c:v>
                </c:pt>
                <c:pt idx="15">
                  <c:v>3.610875106202209E-2</c:v>
                </c:pt>
                <c:pt idx="16">
                  <c:v>1.7291066282420751E-2</c:v>
                </c:pt>
                <c:pt idx="17">
                  <c:v>4.1811846689895474E-2</c:v>
                </c:pt>
                <c:pt idx="18">
                  <c:v>1.8867924528301886E-2</c:v>
                </c:pt>
                <c:pt idx="20">
                  <c:v>5.6163594470046083E-2</c:v>
                </c:pt>
                <c:pt idx="21">
                  <c:v>2.4484536082474227E-2</c:v>
                </c:pt>
                <c:pt idx="22">
                  <c:v>2.2540983606557378E-2</c:v>
                </c:pt>
                <c:pt idx="23">
                  <c:v>1.0434782608695653E-2</c:v>
                </c:pt>
                <c:pt idx="25">
                  <c:v>3.0659853365918685E-2</c:v>
                </c:pt>
                <c:pt idx="26">
                  <c:v>8.0645161290322578E-3</c:v>
                </c:pt>
                <c:pt idx="27">
                  <c:v>5.1020408163265302E-3</c:v>
                </c:pt>
                <c:pt idx="28">
                  <c:v>0</c:v>
                </c:pt>
                <c:pt idx="30">
                  <c:v>1.4092358870783488E-2</c:v>
                </c:pt>
                <c:pt idx="31">
                  <c:v>9.1544042856174131E-3</c:v>
                </c:pt>
                <c:pt idx="32">
                  <c:v>1.3868899646735575E-2</c:v>
                </c:pt>
                <c:pt idx="33">
                  <c:v>8.3530052660250598E-3</c:v>
                </c:pt>
              </c:numCache>
            </c:numRef>
          </c:val>
        </c:ser>
        <c:ser>
          <c:idx val="6"/>
          <c:order val="6"/>
          <c:tx>
            <c:strRef>
              <c:f>Comorbidity!$AJ$6</c:f>
              <c:strCache>
                <c:ptCount val="1"/>
                <c:pt idx="0">
                  <c:v>Resection, Chemotherapy and Radiotherapy</c:v>
                </c:pt>
              </c:strCache>
            </c:strRef>
          </c:tx>
          <c:spPr>
            <a:solidFill>
              <a:schemeClr val="accent5">
                <a:lumMod val="75000"/>
              </a:schemeClr>
            </a:solidFill>
          </c:spPr>
          <c:invertIfNegative val="0"/>
          <c:cat>
            <c:multiLvlStrRef>
              <c:f>Comorbidity!$AA$40:$AB$73</c:f>
              <c:multiLvlStrCache>
                <c:ptCount val="34"/>
                <c:lvl>
                  <c:pt idx="0">
                    <c:v>0</c:v>
                  </c:pt>
                  <c:pt idx="1">
                    <c:v>1</c:v>
                  </c:pt>
                  <c:pt idx="2">
                    <c:v>2</c:v>
                  </c:pt>
                  <c:pt idx="3">
                    <c:v>3+</c:v>
                  </c:pt>
                  <c:pt idx="5">
                    <c:v>0</c:v>
                  </c:pt>
                  <c:pt idx="6">
                    <c:v>1</c:v>
                  </c:pt>
                  <c:pt idx="7">
                    <c:v>2</c:v>
                  </c:pt>
                  <c:pt idx="8">
                    <c:v>3+</c:v>
                  </c:pt>
                  <c:pt idx="10">
                    <c:v>0</c:v>
                  </c:pt>
                  <c:pt idx="11">
                    <c:v>1</c:v>
                  </c:pt>
                  <c:pt idx="12">
                    <c:v>2</c:v>
                  </c:pt>
                  <c:pt idx="13">
                    <c:v>3+</c:v>
                  </c:pt>
                  <c:pt idx="15">
                    <c:v>0</c:v>
                  </c:pt>
                  <c:pt idx="16">
                    <c:v>1</c:v>
                  </c:pt>
                  <c:pt idx="17">
                    <c:v>2</c:v>
                  </c:pt>
                  <c:pt idx="18">
                    <c:v>3+</c:v>
                  </c:pt>
                  <c:pt idx="20">
                    <c:v>0</c:v>
                  </c:pt>
                  <c:pt idx="21">
                    <c:v>1</c:v>
                  </c:pt>
                  <c:pt idx="22">
                    <c:v>2</c:v>
                  </c:pt>
                  <c:pt idx="23">
                    <c:v>3+</c:v>
                  </c:pt>
                  <c:pt idx="25">
                    <c:v>0</c:v>
                  </c:pt>
                  <c:pt idx="26">
                    <c:v>1</c:v>
                  </c:pt>
                  <c:pt idx="27">
                    <c:v>2</c:v>
                  </c:pt>
                  <c:pt idx="28">
                    <c:v>3+</c:v>
                  </c:pt>
                  <c:pt idx="30">
                    <c:v>0</c:v>
                  </c:pt>
                  <c:pt idx="31">
                    <c:v>1</c:v>
                  </c:pt>
                  <c:pt idx="32">
                    <c:v>2</c:v>
                  </c:pt>
                  <c:pt idx="33">
                    <c:v>3+</c:v>
                  </c:pt>
                </c:lvl>
                <c:lvl>
                  <c:pt idx="0">
                    <c:v>Screen detected</c:v>
                  </c:pt>
                  <c:pt idx="5">
                    <c:v>Two Week Wait</c:v>
                  </c:pt>
                  <c:pt idx="10">
                    <c:v>GP referral</c:v>
                  </c:pt>
                  <c:pt idx="15">
                    <c:v>IP &amp; OP</c:v>
                  </c:pt>
                  <c:pt idx="20">
                    <c:v>Emergency presentation</c:v>
                  </c:pt>
                  <c:pt idx="25">
                    <c:v>Unknown</c:v>
                  </c:pt>
                  <c:pt idx="30">
                    <c:v>All Routes</c:v>
                  </c:pt>
                </c:lvl>
              </c:multiLvlStrCache>
            </c:multiLvlStrRef>
          </c:cat>
          <c:val>
            <c:numRef>
              <c:f>Comorbidity!$AJ$40:$AJ$73</c:f>
              <c:numCache>
                <c:formatCode>0%</c:formatCode>
                <c:ptCount val="34"/>
                <c:pt idx="0">
                  <c:v>0.1995485459662289</c:v>
                </c:pt>
                <c:pt idx="1">
                  <c:v>0.17631078511274109</c:v>
                </c:pt>
                <c:pt idx="2">
                  <c:v>0.12253521126760564</c:v>
                </c:pt>
                <c:pt idx="3">
                  <c:v>0.10130246020260492</c:v>
                </c:pt>
                <c:pt idx="5">
                  <c:v>0.37501569816466029</c:v>
                </c:pt>
                <c:pt idx="6">
                  <c:v>0.20794559770937723</c:v>
                </c:pt>
                <c:pt idx="7">
                  <c:v>0.14326131687242799</c:v>
                </c:pt>
                <c:pt idx="8">
                  <c:v>6.3581995593327043E-2</c:v>
                </c:pt>
                <c:pt idx="10">
                  <c:v>0.19604024667315806</c:v>
                </c:pt>
                <c:pt idx="11">
                  <c:v>0.12261995430312261</c:v>
                </c:pt>
                <c:pt idx="12">
                  <c:v>0.10306406685236769</c:v>
                </c:pt>
                <c:pt idx="13">
                  <c:v>4.3165467625899283E-2</c:v>
                </c:pt>
                <c:pt idx="15">
                  <c:v>0.15505522514868308</c:v>
                </c:pt>
                <c:pt idx="16">
                  <c:v>0.11527377521613832</c:v>
                </c:pt>
                <c:pt idx="17">
                  <c:v>0.1289198606271777</c:v>
                </c:pt>
                <c:pt idx="18">
                  <c:v>8.4905660377358486E-2</c:v>
                </c:pt>
                <c:pt idx="20">
                  <c:v>6.7396313364055299E-2</c:v>
                </c:pt>
                <c:pt idx="21">
                  <c:v>3.0927835051546393E-2</c:v>
                </c:pt>
                <c:pt idx="22">
                  <c:v>2.4590163934426229E-2</c:v>
                </c:pt>
                <c:pt idx="23">
                  <c:v>5.2173913043478265E-3</c:v>
                </c:pt>
                <c:pt idx="25">
                  <c:v>0.14530104421239726</c:v>
                </c:pt>
                <c:pt idx="26">
                  <c:v>0.15322580645161291</c:v>
                </c:pt>
                <c:pt idx="27">
                  <c:v>0.10204081632653061</c:v>
                </c:pt>
                <c:pt idx="28">
                  <c:v>5.8823529411764705E-2</c:v>
                </c:pt>
                <c:pt idx="30">
                  <c:v>0.28125314153590264</c:v>
                </c:pt>
                <c:pt idx="31">
                  <c:v>0.18003661761714246</c:v>
                </c:pt>
                <c:pt idx="32">
                  <c:v>0.12403506476514457</c:v>
                </c:pt>
                <c:pt idx="33">
                  <c:v>6.0831668785182494E-2</c:v>
                </c:pt>
              </c:numCache>
            </c:numRef>
          </c:val>
        </c:ser>
        <c:ser>
          <c:idx val="7"/>
          <c:order val="7"/>
          <c:tx>
            <c:strRef>
              <c:f>Comorbidity!$AI$6</c:f>
              <c:strCache>
                <c:ptCount val="1"/>
                <c:pt idx="0">
                  <c:v>Other care</c:v>
                </c:pt>
              </c:strCache>
            </c:strRef>
          </c:tx>
          <c:spPr>
            <a:solidFill>
              <a:schemeClr val="tx1">
                <a:lumMod val="65000"/>
                <a:lumOff val="35000"/>
              </a:schemeClr>
            </a:solidFill>
          </c:spPr>
          <c:invertIfNegative val="0"/>
          <c:cat>
            <c:multiLvlStrRef>
              <c:f>Comorbidity!$AA$40:$AB$73</c:f>
              <c:multiLvlStrCache>
                <c:ptCount val="34"/>
                <c:lvl>
                  <c:pt idx="0">
                    <c:v>0</c:v>
                  </c:pt>
                  <c:pt idx="1">
                    <c:v>1</c:v>
                  </c:pt>
                  <c:pt idx="2">
                    <c:v>2</c:v>
                  </c:pt>
                  <c:pt idx="3">
                    <c:v>3+</c:v>
                  </c:pt>
                  <c:pt idx="5">
                    <c:v>0</c:v>
                  </c:pt>
                  <c:pt idx="6">
                    <c:v>1</c:v>
                  </c:pt>
                  <c:pt idx="7">
                    <c:v>2</c:v>
                  </c:pt>
                  <c:pt idx="8">
                    <c:v>3+</c:v>
                  </c:pt>
                  <c:pt idx="10">
                    <c:v>0</c:v>
                  </c:pt>
                  <c:pt idx="11">
                    <c:v>1</c:v>
                  </c:pt>
                  <c:pt idx="12">
                    <c:v>2</c:v>
                  </c:pt>
                  <c:pt idx="13">
                    <c:v>3+</c:v>
                  </c:pt>
                  <c:pt idx="15">
                    <c:v>0</c:v>
                  </c:pt>
                  <c:pt idx="16">
                    <c:v>1</c:v>
                  </c:pt>
                  <c:pt idx="17">
                    <c:v>2</c:v>
                  </c:pt>
                  <c:pt idx="18">
                    <c:v>3+</c:v>
                  </c:pt>
                  <c:pt idx="20">
                    <c:v>0</c:v>
                  </c:pt>
                  <c:pt idx="21">
                    <c:v>1</c:v>
                  </c:pt>
                  <c:pt idx="22">
                    <c:v>2</c:v>
                  </c:pt>
                  <c:pt idx="23">
                    <c:v>3+</c:v>
                  </c:pt>
                  <c:pt idx="25">
                    <c:v>0</c:v>
                  </c:pt>
                  <c:pt idx="26">
                    <c:v>1</c:v>
                  </c:pt>
                  <c:pt idx="27">
                    <c:v>2</c:v>
                  </c:pt>
                  <c:pt idx="28">
                    <c:v>3+</c:v>
                  </c:pt>
                  <c:pt idx="30">
                    <c:v>0</c:v>
                  </c:pt>
                  <c:pt idx="31">
                    <c:v>1</c:v>
                  </c:pt>
                  <c:pt idx="32">
                    <c:v>2</c:v>
                  </c:pt>
                  <c:pt idx="33">
                    <c:v>3+</c:v>
                  </c:pt>
                </c:lvl>
                <c:lvl>
                  <c:pt idx="0">
                    <c:v>Screen detected</c:v>
                  </c:pt>
                  <c:pt idx="5">
                    <c:v>Two Week Wait</c:v>
                  </c:pt>
                  <c:pt idx="10">
                    <c:v>GP referral</c:v>
                  </c:pt>
                  <c:pt idx="15">
                    <c:v>IP &amp; OP</c:v>
                  </c:pt>
                  <c:pt idx="20">
                    <c:v>Emergency presentation</c:v>
                  </c:pt>
                  <c:pt idx="25">
                    <c:v>Unknown</c:v>
                  </c:pt>
                  <c:pt idx="30">
                    <c:v>All Routes</c:v>
                  </c:pt>
                </c:lvl>
              </c:multiLvlStrCache>
            </c:multiLvlStrRef>
          </c:cat>
          <c:val>
            <c:numRef>
              <c:f>Comorbidity!$AI$40:$AI$73</c:f>
              <c:numCache>
                <c:formatCode>0%</c:formatCode>
                <c:ptCount val="34"/>
                <c:pt idx="0">
                  <c:v>1.9318714821763602E-2</c:v>
                </c:pt>
                <c:pt idx="1">
                  <c:v>2.5536538983971745E-2</c:v>
                </c:pt>
                <c:pt idx="2">
                  <c:v>3.6619718309859155E-2</c:v>
                </c:pt>
                <c:pt idx="3">
                  <c:v>9.1172214182344433E-2</c:v>
                </c:pt>
                <c:pt idx="5">
                  <c:v>9.8315362672455553E-2</c:v>
                </c:pt>
                <c:pt idx="6">
                  <c:v>0.23622047244094488</c:v>
                </c:pt>
                <c:pt idx="7">
                  <c:v>0.3271604938271605</c:v>
                </c:pt>
                <c:pt idx="8">
                  <c:v>0.49071451054453885</c:v>
                </c:pt>
                <c:pt idx="10">
                  <c:v>0.20339716542248187</c:v>
                </c:pt>
                <c:pt idx="11">
                  <c:v>0.29322162985529321</c:v>
                </c:pt>
                <c:pt idx="12">
                  <c:v>0.23955431754874651</c:v>
                </c:pt>
                <c:pt idx="13">
                  <c:v>0.3985611510791367</c:v>
                </c:pt>
                <c:pt idx="15">
                  <c:v>0.14910790144435004</c:v>
                </c:pt>
                <c:pt idx="16">
                  <c:v>0.26224783861671469</c:v>
                </c:pt>
                <c:pt idx="17">
                  <c:v>0.17073170731707318</c:v>
                </c:pt>
                <c:pt idx="18">
                  <c:v>0.36792452830188677</c:v>
                </c:pt>
                <c:pt idx="20">
                  <c:v>0.57200460829493083</c:v>
                </c:pt>
                <c:pt idx="21">
                  <c:v>0.70618556701030932</c:v>
                </c:pt>
                <c:pt idx="22">
                  <c:v>0.66803278688524592</c:v>
                </c:pt>
                <c:pt idx="23">
                  <c:v>0.768695652173913</c:v>
                </c:pt>
                <c:pt idx="25">
                  <c:v>0.17751610753165964</c:v>
                </c:pt>
                <c:pt idx="26">
                  <c:v>0.23790322580645162</c:v>
                </c:pt>
                <c:pt idx="27">
                  <c:v>0.20408163265306123</c:v>
                </c:pt>
                <c:pt idx="28">
                  <c:v>0.39215686274509803</c:v>
                </c:pt>
                <c:pt idx="30">
                  <c:v>0.10194569598157575</c:v>
                </c:pt>
                <c:pt idx="31">
                  <c:v>0.21407743947921612</c:v>
                </c:pt>
                <c:pt idx="32">
                  <c:v>0.26769593091717914</c:v>
                </c:pt>
                <c:pt idx="33">
                  <c:v>0.44997276193934993</c:v>
                </c:pt>
              </c:numCache>
            </c:numRef>
          </c:val>
        </c:ser>
        <c:dLbls>
          <c:showLegendKey val="0"/>
          <c:showVal val="0"/>
          <c:showCatName val="0"/>
          <c:showSerName val="0"/>
          <c:showPercent val="0"/>
          <c:showBubbleSize val="0"/>
        </c:dLbls>
        <c:gapWidth val="95"/>
        <c:overlap val="100"/>
        <c:axId val="62793216"/>
        <c:axId val="62795136"/>
      </c:barChart>
      <c:catAx>
        <c:axId val="62793216"/>
        <c:scaling>
          <c:orientation val="minMax"/>
        </c:scaling>
        <c:delete val="0"/>
        <c:axPos val="b"/>
        <c:title>
          <c:tx>
            <c:rich>
              <a:bodyPr/>
              <a:lstStyle/>
              <a:p>
                <a:pPr>
                  <a:defRPr/>
                </a:pPr>
                <a:r>
                  <a:rPr lang="en-GB" baseline="0"/>
                  <a:t>Charlson comorbidity score and Route to Diagnosis</a:t>
                </a:r>
                <a:endParaRPr lang="en-GB"/>
              </a:p>
            </c:rich>
          </c:tx>
          <c:layout/>
          <c:overlay val="0"/>
        </c:title>
        <c:numFmt formatCode="General" sourceLinked="1"/>
        <c:majorTickMark val="out"/>
        <c:minorTickMark val="none"/>
        <c:tickLblPos val="nextTo"/>
        <c:txPr>
          <a:bodyPr rot="0" vert="horz"/>
          <a:lstStyle/>
          <a:p>
            <a:pPr>
              <a:defRPr/>
            </a:pPr>
            <a:endParaRPr lang="en-US"/>
          </a:p>
        </c:txPr>
        <c:crossAx val="62795136"/>
        <c:crosses val="autoZero"/>
        <c:auto val="1"/>
        <c:lblAlgn val="ctr"/>
        <c:lblOffset val="100"/>
        <c:noMultiLvlLbl val="0"/>
      </c:catAx>
      <c:valAx>
        <c:axId val="62795136"/>
        <c:scaling>
          <c:orientation val="minMax"/>
          <c:max val="1"/>
        </c:scaling>
        <c:delete val="0"/>
        <c:axPos val="l"/>
        <c:majorGridlines>
          <c:spPr>
            <a:ln>
              <a:solidFill>
                <a:schemeClr val="bg1"/>
              </a:solidFill>
            </a:ln>
          </c:spPr>
        </c:majorGridlines>
        <c:title>
          <c:tx>
            <c:rich>
              <a:bodyPr rot="-5400000" vert="horz"/>
              <a:lstStyle/>
              <a:p>
                <a:pPr>
                  <a:defRPr/>
                </a:pPr>
                <a:r>
                  <a:rPr lang="en-GB"/>
                  <a:t>Percentage by treatment modality</a:t>
                </a:r>
              </a:p>
            </c:rich>
          </c:tx>
          <c:layout>
            <c:manualLayout>
              <c:xMode val="edge"/>
              <c:yMode val="edge"/>
              <c:x val="8.6509867531765344E-3"/>
              <c:y val="0.2487182056788356"/>
            </c:manualLayout>
          </c:layout>
          <c:overlay val="0"/>
        </c:title>
        <c:numFmt formatCode="0%" sourceLinked="1"/>
        <c:majorTickMark val="out"/>
        <c:minorTickMark val="none"/>
        <c:tickLblPos val="nextTo"/>
        <c:crossAx val="62793216"/>
        <c:crosses val="autoZero"/>
        <c:crossBetween val="between"/>
      </c:valAx>
      <c:spPr>
        <a:solidFill>
          <a:schemeClr val="bg1">
            <a:lumMod val="85000"/>
          </a:schemeClr>
        </a:solidFill>
      </c:spPr>
    </c:plotArea>
    <c:legend>
      <c:legendPos val="r"/>
      <c:layout>
        <c:manualLayout>
          <c:xMode val="edge"/>
          <c:yMode val="edge"/>
          <c:x val="0.7068301598663802"/>
          <c:y val="0.10493733859675047"/>
          <c:w val="0.19256377952755904"/>
          <c:h val="0.52015702908196637"/>
        </c:manualLayout>
      </c:layout>
      <c:overlay val="0"/>
    </c:legend>
    <c:plotVisOnly val="1"/>
    <c:dispBlanksAs val="gap"/>
    <c:showDLblsOverMax val="0"/>
  </c:chart>
  <c:spPr>
    <a:solidFill>
      <a:srgbClr val="CCE3F1"/>
    </a:solidFill>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trlProps/ctrlProp1.xml><?xml version="1.0" encoding="utf-8"?>
<formControlPr xmlns="http://schemas.microsoft.com/office/spreadsheetml/2009/9/main" objectType="List" dx="16" fmlaLink="Lookups!$A$9" fmlaRange="Lookups!$A$2:$A$7" noThreeD="1" val="0"/>
</file>

<file path=xl/ctrlProps/ctrlProp2.xml><?xml version="1.0" encoding="utf-8"?>
<formControlPr xmlns="http://schemas.microsoft.com/office/spreadsheetml/2009/9/main" objectType="List" dx="16" fmlaLink="Lookups!$A$9" fmlaRange="Lookups!$A$2:$A$7" noThreeD="1" val="0"/>
</file>

<file path=xl/ctrlProps/ctrlProp3.xml><?xml version="1.0" encoding="utf-8"?>
<formControlPr xmlns="http://schemas.microsoft.com/office/spreadsheetml/2009/9/main" objectType="List" dx="16" fmlaLink="Lookups!$C$10" fmlaRange="Lookups!$C$2:$C$8" noThreeD="1" val="0"/>
</file>

<file path=xl/ctrlProps/ctrlProp4.xml><?xml version="1.0" encoding="utf-8"?>
<formControlPr xmlns="http://schemas.microsoft.com/office/spreadsheetml/2009/9/main" objectType="List" dx="16" fmlaLink="Lookups!$A$9" fmlaRange="Lookups!$A$2:$A$7" noThreeD="1" val="0"/>
</file>

<file path=xl/ctrlProps/ctrlProp5.xml><?xml version="1.0" encoding="utf-8"?>
<formControlPr xmlns="http://schemas.microsoft.com/office/spreadsheetml/2009/9/main" objectType="List" dx="16" fmlaLink="Lookups!$C$10" fmlaRange="Lookups!$C$2:$C$8" noThreeD="1" val="0"/>
</file>

<file path=xl/ctrlProps/ctrlProp6.xml><?xml version="1.0" encoding="utf-8"?>
<formControlPr xmlns="http://schemas.microsoft.com/office/spreadsheetml/2009/9/main" objectType="List" dx="16" fmlaLink="Lookups!$A$9" fmlaRange="Lookups!$A$2:$A$7" noThreeD="1" val="0"/>
</file>

<file path=xl/ctrlProps/ctrlProp7.xml><?xml version="1.0" encoding="utf-8"?>
<formControlPr xmlns="http://schemas.microsoft.com/office/spreadsheetml/2009/9/main" objectType="List" dx="16" fmlaLink="Lookups!$C$10" fmlaRange="Lookups!$C$2:$C$8" noThreeD="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114298</xdr:colOff>
      <xdr:row>8</xdr:row>
      <xdr:rowOff>161925</xdr:rowOff>
    </xdr:from>
    <xdr:to>
      <xdr:col>10</xdr:col>
      <xdr:colOff>247649</xdr:colOff>
      <xdr:row>33</xdr:row>
      <xdr:rowOff>66675</xdr:rowOff>
    </xdr:to>
    <xdr:sp macro="" textlink="">
      <xdr:nvSpPr>
        <xdr:cNvPr id="2" name="Rectangle 1"/>
        <xdr:cNvSpPr/>
      </xdr:nvSpPr>
      <xdr:spPr>
        <a:xfrm>
          <a:off x="114298" y="1609725"/>
          <a:ext cx="9982201" cy="5448300"/>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oneCell">
    <xdr:from>
      <xdr:col>0</xdr:col>
      <xdr:colOff>47625</xdr:colOff>
      <xdr:row>0</xdr:row>
      <xdr:rowOff>104775</xdr:rowOff>
    </xdr:from>
    <xdr:to>
      <xdr:col>1</xdr:col>
      <xdr:colOff>2771776</xdr:colOff>
      <xdr:row>8</xdr:row>
      <xdr:rowOff>56739</xdr:rowOff>
    </xdr:to>
    <xdr:pic>
      <xdr:nvPicPr>
        <xdr:cNvPr id="3" name="Picture 2" descr="\\colhpafil004\Colindale_Data\HQ Group and LARS\Group Data\Design\Branding and logos\PHE logos with strapline\Small without Old French text\PHE small logo for A4.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74" t="12614"/>
        <a:stretch/>
      </xdr:blipFill>
      <xdr:spPr bwMode="auto">
        <a:xfrm>
          <a:off x="47625" y="104775"/>
          <a:ext cx="2952751" cy="1399764"/>
        </a:xfrm>
        <a:prstGeom prst="rect">
          <a:avLst/>
        </a:prstGeom>
        <a:noFill/>
        <a:ln>
          <a:noFill/>
        </a:ln>
      </xdr:spPr>
    </xdr:pic>
    <xdr:clientData/>
  </xdr:twoCellAnchor>
  <xdr:twoCellAnchor editAs="oneCell">
    <xdr:from>
      <xdr:col>7</xdr:col>
      <xdr:colOff>514349</xdr:colOff>
      <xdr:row>1</xdr:row>
      <xdr:rowOff>54966</xdr:rowOff>
    </xdr:from>
    <xdr:to>
      <xdr:col>10</xdr:col>
      <xdr:colOff>224336</xdr:colOff>
      <xdr:row>7</xdr:row>
      <xdr:rowOff>38100</xdr:rowOff>
    </xdr:to>
    <xdr:pic>
      <xdr:nvPicPr>
        <xdr:cNvPr id="7" name="Picture 6"/>
        <xdr:cNvPicPr>
          <a:picLocks noChangeAspect="1"/>
        </xdr:cNvPicPr>
      </xdr:nvPicPr>
      <xdr:blipFill rotWithShape="1">
        <a:blip xmlns:r="http://schemas.openxmlformats.org/officeDocument/2006/relationships" r:embed="rId2"/>
        <a:srcRect t="-1" b="1781"/>
        <a:stretch/>
      </xdr:blipFill>
      <xdr:spPr>
        <a:xfrm>
          <a:off x="8534399" y="235941"/>
          <a:ext cx="1538787" cy="1068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171450</xdr:rowOff>
    </xdr:from>
    <xdr:to>
      <xdr:col>1</xdr:col>
      <xdr:colOff>10220325</xdr:colOff>
      <xdr:row>22</xdr:row>
      <xdr:rowOff>85725</xdr:rowOff>
    </xdr:to>
    <xdr:sp macro="" textlink="">
      <xdr:nvSpPr>
        <xdr:cNvPr id="3" name="Rectangle 2"/>
        <xdr:cNvSpPr/>
      </xdr:nvSpPr>
      <xdr:spPr>
        <a:xfrm>
          <a:off x="228600" y="171450"/>
          <a:ext cx="10258425" cy="5857875"/>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47625</xdr:colOff>
      <xdr:row>6</xdr:row>
      <xdr:rowOff>190499</xdr:rowOff>
    </xdr:from>
    <xdr:to>
      <xdr:col>11</xdr:col>
      <xdr:colOff>342900</xdr:colOff>
      <xdr:row>11</xdr:row>
      <xdr:rowOff>238125</xdr:rowOff>
    </xdr:to>
    <xdr:sp macro="" textlink="">
      <xdr:nvSpPr>
        <xdr:cNvPr id="2" name="TextBox 1"/>
        <xdr:cNvSpPr txBox="1"/>
      </xdr:nvSpPr>
      <xdr:spPr>
        <a:xfrm>
          <a:off x="12449175" y="1409699"/>
          <a:ext cx="3343275" cy="2295526"/>
        </a:xfrm>
        <a:prstGeom prst="rect">
          <a:avLst/>
        </a:prstGeom>
        <a:solidFill>
          <a:schemeClr val="bg1"/>
        </a:solidFill>
        <a:ln w="19050" cmpd="sng">
          <a:solidFill>
            <a:srgbClr val="00B09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rial" panose="020B0604020202020204" pitchFamily="34" charset="0"/>
              <a:ea typeface="+mn-ea"/>
              <a:cs typeface="Arial" panose="020B0604020202020204" pitchFamily="34" charset="0"/>
            </a:rPr>
            <a:t>For several combinations of factors,</a:t>
          </a:r>
          <a:r>
            <a:rPr lang="en-GB" sz="1200" baseline="0">
              <a:solidFill>
                <a:schemeClr val="dk1"/>
              </a:solidFill>
              <a:effectLst/>
              <a:latin typeface="Arial" panose="020B0604020202020204" pitchFamily="34" charset="0"/>
              <a:ea typeface="+mn-ea"/>
              <a:cs typeface="Arial" panose="020B0604020202020204" pitchFamily="34" charset="0"/>
            </a:rPr>
            <a:t> a high proportion of "other care" is observed. </a:t>
          </a:r>
          <a:r>
            <a:rPr lang="en-GB" sz="1200">
              <a:solidFill>
                <a:schemeClr val="dk1"/>
              </a:solidFill>
              <a:effectLst/>
              <a:latin typeface="Arial" panose="020B0604020202020204" pitchFamily="34" charset="0"/>
              <a:ea typeface="+mn-ea"/>
              <a:cs typeface="Arial" panose="020B0604020202020204" pitchFamily="34" charset="0"/>
            </a:rPr>
            <a:t>This may in part be due to patients with high mortality, who die before receiving treatment or receive palliative care in some cases.  </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Figures are not adjusted for this 'time at risk' and so in part are a reflection of death before treatment rather than treatment patterns. High</a:t>
          </a:r>
          <a:r>
            <a:rPr lang="en-GB" sz="1200" baseline="0">
              <a:solidFill>
                <a:schemeClr val="dk1"/>
              </a:solidFill>
              <a:effectLst/>
              <a:latin typeface="Arial" panose="020B0604020202020204" pitchFamily="34" charset="0"/>
              <a:ea typeface="+mn-ea"/>
              <a:cs typeface="Arial" panose="020B0604020202020204" pitchFamily="34" charset="0"/>
            </a:rPr>
            <a:t> mortality groups where this approach would be most beneficial include the emergency presentation and later staged breakdowns. </a:t>
          </a:r>
          <a:endParaRPr lang="en-GB" sz="12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5</xdr:row>
          <xdr:rowOff>828675</xdr:rowOff>
        </xdr:to>
        <xdr:sp macro="" textlink="">
          <xdr:nvSpPr>
            <xdr:cNvPr id="2050" name="List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twoCellAnchor>
    <xdr:from>
      <xdr:col>23</xdr:col>
      <xdr:colOff>123825</xdr:colOff>
      <xdr:row>1</xdr:row>
      <xdr:rowOff>0</xdr:rowOff>
    </xdr:from>
    <xdr:to>
      <xdr:col>53</xdr:col>
      <xdr:colOff>114300</xdr:colOff>
      <xdr:row>22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66675</xdr:colOff>
      <xdr:row>22</xdr:row>
      <xdr:rowOff>180974</xdr:rowOff>
    </xdr:from>
    <xdr:to>
      <xdr:col>48</xdr:col>
      <xdr:colOff>457200</xdr:colOff>
      <xdr:row>32</xdr:row>
      <xdr:rowOff>180974</xdr:rowOff>
    </xdr:to>
    <xdr:sp macro="" textlink="">
      <xdr:nvSpPr>
        <xdr:cNvPr id="2" name="TextBox 1"/>
        <xdr:cNvSpPr txBox="1"/>
      </xdr:nvSpPr>
      <xdr:spPr>
        <a:xfrm>
          <a:off x="9010650" y="5562599"/>
          <a:ext cx="7467600" cy="2409825"/>
        </a:xfrm>
        <a:prstGeom prst="rect">
          <a:avLst/>
        </a:prstGeom>
        <a:solidFill>
          <a:schemeClr val="bg1"/>
        </a:solidFill>
        <a:ln w="19050" cmpd="sng">
          <a:solidFill>
            <a:srgbClr val="00B09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800000"/>
              </a:solidFill>
              <a:latin typeface="Arial" panose="020B0604020202020204" pitchFamily="34" charset="0"/>
              <a:cs typeface="Arial" panose="020B0604020202020204" pitchFamily="34" charset="0"/>
            </a:rPr>
            <a:t>Results summary</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Treatment types vary between cancer site, often based on their physical location in the body, size and the aggressiveness of the cancer type. For example, SCLC is often aggressive and treated with chemotherapy or radiotherapy. In contrast, many prostate cancers are treated without using the resections, chemotherapy or radiotherapy and may be treated with surveillance.  </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Screen detected cancers show a high proportion of resctions, chemotherapy, radiotherapy and their combinations, with few patients receiving other care.  Screening programmes often detect cancers early, and are likely to receive curative treatment. Managed Routes – such as Two Week Waits, GP referrals and IP&amp;OPs show similar treatment patterns, although for some sites Two Week Waits have a slightly lower proportion of other care overall. For all sites, emergency presentation and unknown Routes show the highest proportion of other care. </a:t>
          </a:r>
        </a:p>
        <a:p>
          <a:endParaRPr lang="en-GB"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5</xdr:row>
          <xdr:rowOff>9525</xdr:rowOff>
        </xdr:from>
        <xdr:to>
          <xdr:col>2</xdr:col>
          <xdr:colOff>19050</xdr:colOff>
          <xdr:row>5</xdr:row>
          <xdr:rowOff>838200</xdr:rowOff>
        </xdr:to>
        <xdr:sp macro="" textlink="">
          <xdr:nvSpPr>
            <xdr:cNvPr id="8193" name="List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xdr:row>
          <xdr:rowOff>85725</xdr:rowOff>
        </xdr:from>
        <xdr:to>
          <xdr:col>2</xdr:col>
          <xdr:colOff>9525</xdr:colOff>
          <xdr:row>13</xdr:row>
          <xdr:rowOff>47625</xdr:rowOff>
        </xdr:to>
        <xdr:sp macro="" textlink="">
          <xdr:nvSpPr>
            <xdr:cNvPr id="8194" name="List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xdr:twoCellAnchor>
    <xdr:from>
      <xdr:col>24</xdr:col>
      <xdr:colOff>9524</xdr:colOff>
      <xdr:row>2</xdr:row>
      <xdr:rowOff>85725</xdr:rowOff>
    </xdr:from>
    <xdr:to>
      <xdr:col>55</xdr:col>
      <xdr:colOff>466725</xdr:colOff>
      <xdr:row>31</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xdr:colOff>
      <xdr:row>23</xdr:row>
      <xdr:rowOff>66675</xdr:rowOff>
    </xdr:from>
    <xdr:to>
      <xdr:col>23</xdr:col>
      <xdr:colOff>485775</xdr:colOff>
      <xdr:row>30</xdr:row>
      <xdr:rowOff>76200</xdr:rowOff>
    </xdr:to>
    <xdr:sp macro="" textlink="">
      <xdr:nvSpPr>
        <xdr:cNvPr id="5" name="TextBox 4"/>
        <xdr:cNvSpPr txBox="1"/>
      </xdr:nvSpPr>
      <xdr:spPr>
        <a:xfrm>
          <a:off x="1543050" y="5972175"/>
          <a:ext cx="7524750" cy="1343025"/>
        </a:xfrm>
        <a:prstGeom prst="rect">
          <a:avLst/>
        </a:prstGeom>
        <a:solidFill>
          <a:schemeClr val="bg1"/>
        </a:solidFill>
        <a:ln w="19050" cmpd="sng">
          <a:solidFill>
            <a:srgbClr val="00B09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800000"/>
              </a:solidFill>
              <a:effectLst/>
              <a:latin typeface="Arial" panose="020B0604020202020204" pitchFamily="34" charset="0"/>
              <a:ea typeface="+mn-ea"/>
              <a:cs typeface="Arial" panose="020B0604020202020204" pitchFamily="34" charset="0"/>
            </a:rPr>
            <a:t>Results summary</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Changes in treatments are often similar across Routes for the age groups – for example the reduction in the use of chemotherapy is seen for all Routes as age increases. This</a:t>
          </a:r>
          <a:r>
            <a:rPr lang="en-GB" sz="1200" baseline="0">
              <a:solidFill>
                <a:schemeClr val="dk1"/>
              </a:solidFill>
              <a:effectLst/>
              <a:latin typeface="Arial" panose="020B0604020202020204" pitchFamily="34" charset="0"/>
              <a:ea typeface="+mn-ea"/>
              <a:cs typeface="Arial" panose="020B0604020202020204" pitchFamily="34" charset="0"/>
            </a:rPr>
            <a:t> is in part due to older patients being more vulnerable to any potential complications from chemotherapy treatment.</a:t>
          </a:r>
          <a:r>
            <a:rPr lang="en-GB" sz="1200">
              <a:solidFill>
                <a:schemeClr val="dk1"/>
              </a:solidFill>
              <a:effectLst/>
              <a:latin typeface="Arial" panose="020B0604020202020204" pitchFamily="34" charset="0"/>
              <a:ea typeface="+mn-ea"/>
              <a:cs typeface="Arial" panose="020B0604020202020204" pitchFamily="34" charset="0"/>
            </a:rPr>
            <a:t>  For ages 80-84 and 85+ a large increase in other care is seen. Emergency presentations and the unknown Route show a sharper increase as age increases in other care compared to other Routes.</a:t>
          </a:r>
        </a:p>
      </xdr:txBody>
    </xdr:sp>
    <xdr:clientData/>
  </xdr:twoCellAnchor>
  <xdr:twoCellAnchor>
    <xdr:from>
      <xdr:col>25</xdr:col>
      <xdr:colOff>0</xdr:colOff>
      <xdr:row>35</xdr:row>
      <xdr:rowOff>66675</xdr:rowOff>
    </xdr:from>
    <xdr:to>
      <xdr:col>55</xdr:col>
      <xdr:colOff>466726</xdr:colOff>
      <xdr:row>67</xdr:row>
      <xdr:rowOff>38100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5</xdr:row>
          <xdr:rowOff>9525</xdr:rowOff>
        </xdr:from>
        <xdr:to>
          <xdr:col>2</xdr:col>
          <xdr:colOff>19050</xdr:colOff>
          <xdr:row>5</xdr:row>
          <xdr:rowOff>838200</xdr:rowOff>
        </xdr:to>
        <xdr:sp macro="" textlink="">
          <xdr:nvSpPr>
            <xdr:cNvPr id="9217" name="List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95250</xdr:rowOff>
        </xdr:from>
        <xdr:to>
          <xdr:col>1</xdr:col>
          <xdr:colOff>1333500</xdr:colOff>
          <xdr:row>13</xdr:row>
          <xdr:rowOff>57150</xdr:rowOff>
        </xdr:to>
        <xdr:sp macro="" textlink="">
          <xdr:nvSpPr>
            <xdr:cNvPr id="9218" name="List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xdr:twoCellAnchor>
    <xdr:from>
      <xdr:col>23</xdr:col>
      <xdr:colOff>771525</xdr:colOff>
      <xdr:row>2</xdr:row>
      <xdr:rowOff>9525</xdr:rowOff>
    </xdr:from>
    <xdr:to>
      <xdr:col>52</xdr:col>
      <xdr:colOff>295275</xdr:colOff>
      <xdr:row>31</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xdr:colOff>
      <xdr:row>19</xdr:row>
      <xdr:rowOff>9526</xdr:rowOff>
    </xdr:from>
    <xdr:to>
      <xdr:col>23</xdr:col>
      <xdr:colOff>523875</xdr:colOff>
      <xdr:row>29</xdr:row>
      <xdr:rowOff>133350</xdr:rowOff>
    </xdr:to>
    <xdr:sp macro="" textlink="">
      <xdr:nvSpPr>
        <xdr:cNvPr id="5" name="TextBox 4"/>
        <xdr:cNvSpPr txBox="1"/>
      </xdr:nvSpPr>
      <xdr:spPr>
        <a:xfrm>
          <a:off x="1524000" y="5295901"/>
          <a:ext cx="7667625" cy="2066924"/>
        </a:xfrm>
        <a:prstGeom prst="rect">
          <a:avLst/>
        </a:prstGeom>
        <a:solidFill>
          <a:schemeClr val="bg1"/>
        </a:solidFill>
        <a:ln w="19050" cmpd="sng">
          <a:solidFill>
            <a:srgbClr val="00B09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800000"/>
              </a:solidFill>
              <a:effectLst/>
              <a:latin typeface="Arial" panose="020B0604020202020204" pitchFamily="34" charset="0"/>
              <a:ea typeface="+mn-ea"/>
              <a:cs typeface="Arial" panose="020B0604020202020204" pitchFamily="34" charset="0"/>
            </a:rPr>
            <a:t>Results summary</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Stage is a very important factor in guiding treatment, with treatment patterns varying greatly between early and late stage cancers. A reduction in resections is seen</a:t>
          </a:r>
          <a:r>
            <a:rPr lang="en-GB" sz="1200" baseline="0">
              <a:solidFill>
                <a:schemeClr val="dk1"/>
              </a:solidFill>
              <a:effectLst/>
              <a:latin typeface="Arial" panose="020B0604020202020204" pitchFamily="34" charset="0"/>
              <a:ea typeface="+mn-ea"/>
              <a:cs typeface="Arial" panose="020B0604020202020204" pitchFamily="34" charset="0"/>
            </a:rPr>
            <a:t> for late stage cancers </a:t>
          </a:r>
          <a:r>
            <a:rPr lang="en-GB" sz="1200">
              <a:solidFill>
                <a:schemeClr val="dk1"/>
              </a:solidFill>
              <a:effectLst/>
              <a:latin typeface="Arial" panose="020B0604020202020204" pitchFamily="34" charset="0"/>
              <a:ea typeface="+mn-ea"/>
              <a:cs typeface="Arial" panose="020B0604020202020204" pitchFamily="34" charset="0"/>
            </a:rPr>
            <a:t>due to the cancer spreading and an increase in other care overall. Prostate cancer is an exception with all Routes besides emergency presentations showing a reduction in other care for later staged cancers. Screen detected cancers have a high proportion of resctions, chemotherapy, radiotherapy and their combinations, even when late staged. Emergency presentations have a high proportion of other care, which increases for late staged cancers, and again for unknown stage – a potential reflection of death before treatment (see notes in the information tab). All Routes for unknown stage have a large proportion of other care, and often resemble late staged cancers in treatment patterns. </a:t>
          </a:r>
        </a:p>
        <a:p>
          <a:endParaRPr lang="en-GB" sz="1100"/>
        </a:p>
      </xdr:txBody>
    </xdr:sp>
    <xdr:clientData/>
  </xdr:twoCellAnchor>
  <xdr:twoCellAnchor>
    <xdr:from>
      <xdr:col>23</xdr:col>
      <xdr:colOff>762000</xdr:colOff>
      <xdr:row>33</xdr:row>
      <xdr:rowOff>95250</xdr:rowOff>
    </xdr:from>
    <xdr:to>
      <xdr:col>52</xdr:col>
      <xdr:colOff>285750</xdr:colOff>
      <xdr:row>71</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5</xdr:row>
          <xdr:rowOff>9525</xdr:rowOff>
        </xdr:from>
        <xdr:to>
          <xdr:col>2</xdr:col>
          <xdr:colOff>0</xdr:colOff>
          <xdr:row>5</xdr:row>
          <xdr:rowOff>838200</xdr:rowOff>
        </xdr:to>
        <xdr:sp macro="" textlink="">
          <xdr:nvSpPr>
            <xdr:cNvPr id="11265" name="List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95250</xdr:rowOff>
        </xdr:from>
        <xdr:to>
          <xdr:col>2</xdr:col>
          <xdr:colOff>0</xdr:colOff>
          <xdr:row>13</xdr:row>
          <xdr:rowOff>57150</xdr:rowOff>
        </xdr:to>
        <xdr:sp macro="" textlink="">
          <xdr:nvSpPr>
            <xdr:cNvPr id="11266" name="List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xdr:twoCellAnchor>
    <xdr:from>
      <xdr:col>23</xdr:col>
      <xdr:colOff>571500</xdr:colOff>
      <xdr:row>2</xdr:row>
      <xdr:rowOff>47625</xdr:rowOff>
    </xdr:from>
    <xdr:to>
      <xdr:col>52</xdr:col>
      <xdr:colOff>571500</xdr:colOff>
      <xdr:row>31</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20</xdr:row>
      <xdr:rowOff>123826</xdr:rowOff>
    </xdr:from>
    <xdr:to>
      <xdr:col>23</xdr:col>
      <xdr:colOff>466725</xdr:colOff>
      <xdr:row>24</xdr:row>
      <xdr:rowOff>152400</xdr:rowOff>
    </xdr:to>
    <xdr:sp macro="" textlink="">
      <xdr:nvSpPr>
        <xdr:cNvPr id="5" name="TextBox 4"/>
        <xdr:cNvSpPr txBox="1"/>
      </xdr:nvSpPr>
      <xdr:spPr>
        <a:xfrm>
          <a:off x="1524000" y="5438776"/>
          <a:ext cx="7581900" cy="809624"/>
        </a:xfrm>
        <a:prstGeom prst="rect">
          <a:avLst/>
        </a:prstGeom>
        <a:solidFill>
          <a:schemeClr val="bg1"/>
        </a:solidFill>
        <a:ln w="19050" cmpd="sng">
          <a:solidFill>
            <a:srgbClr val="00B09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800000"/>
              </a:solidFill>
              <a:effectLst/>
              <a:latin typeface="Arial" panose="020B0604020202020204" pitchFamily="34" charset="0"/>
              <a:ea typeface="+mn-ea"/>
              <a:cs typeface="Arial" panose="020B0604020202020204" pitchFamily="34" charset="0"/>
            </a:rPr>
            <a:t>Results summary</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Treatment patterns do not vary greatly as comorbidity score increases. An increase in other care is seen for many cancers across all routes,</a:t>
          </a:r>
          <a:r>
            <a:rPr lang="en-GB" sz="1200" baseline="0">
              <a:solidFill>
                <a:schemeClr val="dk1"/>
              </a:solidFill>
              <a:effectLst/>
              <a:latin typeface="Arial" panose="020B0604020202020204" pitchFamily="34" charset="0"/>
              <a:ea typeface="+mn-ea"/>
              <a:cs typeface="Arial" panose="020B0604020202020204" pitchFamily="34" charset="0"/>
            </a:rPr>
            <a:t> but </a:t>
          </a:r>
          <a:r>
            <a:rPr lang="en-GB" sz="1200">
              <a:solidFill>
                <a:schemeClr val="dk1"/>
              </a:solidFill>
              <a:effectLst/>
              <a:latin typeface="Arial" panose="020B0604020202020204" pitchFamily="34" charset="0"/>
              <a:ea typeface="+mn-ea"/>
              <a:cs typeface="Arial" panose="020B0604020202020204" pitchFamily="34" charset="0"/>
            </a:rPr>
            <a:t>more so for emergency presentations.  </a:t>
          </a:r>
        </a:p>
        <a:p>
          <a:endParaRPr lang="en-GB" sz="1100"/>
        </a:p>
      </xdr:txBody>
    </xdr:sp>
    <xdr:clientData/>
  </xdr:twoCellAnchor>
  <xdr:twoCellAnchor>
    <xdr:from>
      <xdr:col>23</xdr:col>
      <xdr:colOff>590550</xdr:colOff>
      <xdr:row>33</xdr:row>
      <xdr:rowOff>57150</xdr:rowOff>
    </xdr:from>
    <xdr:to>
      <xdr:col>52</xdr:col>
      <xdr:colOff>590550</xdr:colOff>
      <xdr:row>65</xdr:row>
      <xdr:rowOff>85725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alysts/Routes%20to%20Diagnosis/2006-2015%20project/Workbooks/Routes%20to%20Diagnosis%202006-2015%20workbook_published_version%202.0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alysts/Routes%20to%20Diagnosis/2006-2015%20project/Workbooks/Routes%20to%20Diagnosis%202006-2015%20workbook%20version%201.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troduction"/>
      <sheetName val="Information"/>
      <sheetName val="Incidence by year"/>
      <sheetName val="Percent by Route - Overall"/>
      <sheetName val="Survival by Route - Overall"/>
      <sheetName val="Surv. by Route &amp; time - overall"/>
      <sheetName val="Overview of incidence metrics"/>
      <sheetName val="Overview of survival metrics"/>
      <sheetName val="Incidence by Route -age 0-24"/>
      <sheetName val="All sites data"/>
      <sheetName val="All sites breakdown data"/>
      <sheetName val="Sex data"/>
      <sheetName val="Age data"/>
      <sheetName val="Deprivation data"/>
      <sheetName val="Ethnicity data"/>
      <sheetName val="Soverall data"/>
      <sheetName val="SSex data"/>
      <sheetName val="Sage data"/>
      <sheetName val="SDep data"/>
      <sheetName val="Hide Sele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D2" t="str">
            <v>All Malignant Neoplasms (excl. NMSC)</v>
          </cell>
        </row>
        <row r="3">
          <cell r="D3" t="str">
            <v>Bladder</v>
          </cell>
        </row>
        <row r="4">
          <cell r="D4" t="str">
            <v>Bladder (in-situ)</v>
          </cell>
        </row>
        <row r="5">
          <cell r="D5" t="str">
            <v>Brain</v>
          </cell>
        </row>
        <row r="6">
          <cell r="D6" t="str">
            <v>Meninges</v>
          </cell>
        </row>
        <row r="7">
          <cell r="D7" t="str">
            <v>Other CNS and intracranial tumours</v>
          </cell>
        </row>
        <row r="8">
          <cell r="D8" t="str">
            <v>Cancer of Unknown Primary</v>
          </cell>
          <cell r="N8" t="str">
            <v>12-month</v>
          </cell>
        </row>
        <row r="9">
          <cell r="D9" t="str">
            <v>Cervix</v>
          </cell>
        </row>
        <row r="10">
          <cell r="D10" t="str">
            <v>Cervix (in-situ)</v>
          </cell>
        </row>
        <row r="11">
          <cell r="D11" t="str">
            <v>Colorectal</v>
          </cell>
        </row>
        <row r="12">
          <cell r="D12" t="str">
            <v>Female breast cancer</v>
          </cell>
        </row>
        <row r="13">
          <cell r="D13" t="str">
            <v>Female breast (in-situ)</v>
          </cell>
        </row>
        <row r="14">
          <cell r="D14" t="str">
            <v>Male breast cancer</v>
          </cell>
        </row>
        <row r="15">
          <cell r="D15" t="str">
            <v>Head and neck - Larynx</v>
          </cell>
        </row>
        <row r="16">
          <cell r="D16" t="str">
            <v>Head and Neck - non specific</v>
          </cell>
        </row>
        <row r="17">
          <cell r="D17" t="str">
            <v>Head and neck - Oral cavity</v>
          </cell>
        </row>
        <row r="18">
          <cell r="D18" t="str">
            <v>Head and neck - Oropharynx</v>
          </cell>
        </row>
        <row r="19">
          <cell r="D19" t="str">
            <v>Head and neck - Other (excl. oral cavity, oropharynx, larynx &amp; thyroid)</v>
          </cell>
        </row>
        <row r="20">
          <cell r="D20" t="str">
            <v>Head and neck - Thyroid</v>
          </cell>
        </row>
        <row r="21">
          <cell r="D21" t="str">
            <v>Hodgkin lymphoma</v>
          </cell>
        </row>
        <row r="22">
          <cell r="D22" t="str">
            <v>Kidney</v>
          </cell>
        </row>
        <row r="23">
          <cell r="D23" t="str">
            <v>Other and unspecified urinary</v>
          </cell>
        </row>
        <row r="24">
          <cell r="D24" t="str">
            <v>Leukaemia: acute myeloid</v>
          </cell>
        </row>
        <row r="25">
          <cell r="D25" t="str">
            <v>Leukaemia: chronic lymphocytic</v>
          </cell>
        </row>
        <row r="26">
          <cell r="D26" t="str">
            <v>Leukaemia: other (all excluding AML and CLL)</v>
          </cell>
        </row>
        <row r="27">
          <cell r="D27" t="str">
            <v>Other haematological malignancies</v>
          </cell>
        </row>
        <row r="28">
          <cell r="D28" t="str">
            <v>Liver</v>
          </cell>
        </row>
        <row r="29">
          <cell r="D29" t="str">
            <v>Lung</v>
          </cell>
        </row>
        <row r="30">
          <cell r="D30" t="str">
            <v>Melanoma</v>
          </cell>
        </row>
        <row r="31">
          <cell r="D31" t="str">
            <v>Mesothelioma</v>
          </cell>
        </row>
        <row r="32">
          <cell r="D32" t="str">
            <v>Multiple myeloma</v>
          </cell>
        </row>
        <row r="33">
          <cell r="D33" t="str">
            <v>Non-Hodgkin lymphoma</v>
          </cell>
        </row>
        <row r="34">
          <cell r="D34" t="str">
            <v>Oesophagus</v>
          </cell>
        </row>
        <row r="35">
          <cell r="D35" t="str">
            <v>Other malignant neoplasms</v>
          </cell>
        </row>
        <row r="36">
          <cell r="D36" t="str">
            <v>Ovary</v>
          </cell>
        </row>
        <row r="37">
          <cell r="D37" t="str">
            <v>Pancreas</v>
          </cell>
        </row>
        <row r="38">
          <cell r="D38" t="str">
            <v>Prostate</v>
          </cell>
        </row>
        <row r="39">
          <cell r="D39" t="str">
            <v>Sarcoma: Bone</v>
          </cell>
        </row>
        <row r="40">
          <cell r="D40" t="str">
            <v>Sarcoma: connective and soft tissue</v>
          </cell>
        </row>
        <row r="41">
          <cell r="D41" t="str">
            <v>Stomach</v>
          </cell>
        </row>
        <row r="42">
          <cell r="D42" t="str">
            <v>Testis</v>
          </cell>
        </row>
        <row r="43">
          <cell r="D43" t="str">
            <v>Uterus</v>
          </cell>
        </row>
        <row r="44">
          <cell r="D44" t="str">
            <v>Vulva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troduction"/>
      <sheetName val="Information"/>
      <sheetName val="Incidence by year"/>
      <sheetName val="Percent by Route - Overall"/>
      <sheetName val="Survival by Route - Overall"/>
      <sheetName val="Surv. by Route &amp; time - overall"/>
      <sheetName val="Overview of incidence metrics"/>
      <sheetName val="Overview of survival metrics"/>
      <sheetName val="Incidence by Route -age 0-24"/>
      <sheetName val="All sites data"/>
      <sheetName val="All sites breakdown data"/>
      <sheetName val="Sex data"/>
      <sheetName val="Age data"/>
      <sheetName val="Deprivation data"/>
      <sheetName val="Ethnicity data"/>
      <sheetName val="Soverall data"/>
      <sheetName val="SSex data"/>
      <sheetName val="Sage data"/>
      <sheetName val="SDep data"/>
      <sheetName val="Hide Sele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D2" t="str">
            <v>All Malignant Neoplasms (excl. NMSC)</v>
          </cell>
        </row>
        <row r="3">
          <cell r="D3" t="str">
            <v>Bladder</v>
          </cell>
        </row>
        <row r="4">
          <cell r="D4" t="str">
            <v>Bladder (in-situ)</v>
          </cell>
        </row>
        <row r="5">
          <cell r="D5" t="str">
            <v>Brain</v>
          </cell>
        </row>
        <row r="6">
          <cell r="D6" t="str">
            <v>Meninges</v>
          </cell>
        </row>
        <row r="7">
          <cell r="D7" t="str">
            <v>Other CNS and intracranial tumours</v>
          </cell>
        </row>
        <row r="8">
          <cell r="D8" t="str">
            <v>Cancer of Unknown Primary</v>
          </cell>
        </row>
        <row r="9">
          <cell r="D9" t="str">
            <v>Cervix</v>
          </cell>
        </row>
        <row r="10">
          <cell r="D10" t="str">
            <v>Cervix (in-situ)</v>
          </cell>
        </row>
        <row r="11">
          <cell r="D11" t="str">
            <v>Colorectal</v>
          </cell>
        </row>
        <row r="12">
          <cell r="D12" t="str">
            <v>Female breast cancer</v>
          </cell>
        </row>
        <row r="13">
          <cell r="D13" t="str">
            <v>Female breast (in-situ)</v>
          </cell>
        </row>
        <row r="14">
          <cell r="D14" t="str">
            <v>Male breast cancer</v>
          </cell>
        </row>
        <row r="15">
          <cell r="D15" t="str">
            <v>Head and neck - Larynx</v>
          </cell>
        </row>
        <row r="16">
          <cell r="D16" t="str">
            <v>Head and Neck - non specific</v>
          </cell>
        </row>
        <row r="17">
          <cell r="D17" t="str">
            <v>Head and neck - Oral cavity</v>
          </cell>
        </row>
        <row r="18">
          <cell r="D18" t="str">
            <v>Head and neck - Oropharynx</v>
          </cell>
        </row>
        <row r="19">
          <cell r="D19" t="str">
            <v>Head and neck - Other (excl. oral cavity, oropharynx, larynx &amp; thyroid)</v>
          </cell>
        </row>
        <row r="20">
          <cell r="D20" t="str">
            <v>Head and neck - Thyroid</v>
          </cell>
        </row>
        <row r="21">
          <cell r="D21" t="str">
            <v>Hodgkin lymphoma</v>
          </cell>
        </row>
        <row r="22">
          <cell r="D22" t="str">
            <v>Kidney</v>
          </cell>
        </row>
        <row r="23">
          <cell r="D23" t="str">
            <v>Other and unspecified urinary</v>
          </cell>
        </row>
        <row r="24">
          <cell r="D24" t="str">
            <v>Leukaemia: acute myeloid</v>
          </cell>
        </row>
        <row r="25">
          <cell r="D25" t="str">
            <v>Leukaemia: chronic lymphocytic</v>
          </cell>
        </row>
        <row r="26">
          <cell r="D26" t="str">
            <v>Leukaemia: other (all excluding AML and CLL)</v>
          </cell>
        </row>
        <row r="27">
          <cell r="D27" t="str">
            <v>Other haematological malignancies</v>
          </cell>
        </row>
        <row r="28">
          <cell r="D28" t="str">
            <v>Liver</v>
          </cell>
        </row>
        <row r="29">
          <cell r="D29" t="str">
            <v>Lung</v>
          </cell>
        </row>
        <row r="30">
          <cell r="D30" t="str">
            <v>Melanoma</v>
          </cell>
        </row>
        <row r="31">
          <cell r="D31" t="str">
            <v>Mesothelioma</v>
          </cell>
        </row>
        <row r="32">
          <cell r="D32" t="str">
            <v>Multiple myeloma</v>
          </cell>
        </row>
        <row r="33">
          <cell r="D33" t="str">
            <v>Non-Hodgkin lymphoma</v>
          </cell>
        </row>
        <row r="34">
          <cell r="D34" t="str">
            <v>Oesophagus</v>
          </cell>
        </row>
        <row r="35">
          <cell r="D35" t="str">
            <v>Other malignant neoplasms</v>
          </cell>
        </row>
        <row r="36">
          <cell r="D36" t="str">
            <v>Ovary</v>
          </cell>
        </row>
        <row r="37">
          <cell r="D37" t="str">
            <v>Pancreas</v>
          </cell>
        </row>
        <row r="38">
          <cell r="D38" t="str">
            <v>Prostate</v>
          </cell>
        </row>
        <row r="39">
          <cell r="D39" t="str">
            <v>Sarcoma: Bone</v>
          </cell>
        </row>
        <row r="40">
          <cell r="D40" t="str">
            <v>Sarcoma: connective and soft tissue</v>
          </cell>
        </row>
        <row r="41">
          <cell r="D41" t="str">
            <v>Stomach</v>
          </cell>
        </row>
        <row r="42">
          <cell r="D42" t="str">
            <v>Testis</v>
          </cell>
        </row>
        <row r="43">
          <cell r="D43" t="str">
            <v>Uterus</v>
          </cell>
        </row>
        <row r="44">
          <cell r="D44" t="str">
            <v>Vulva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ncin.org.uk/publications/routes_to_diagnosis" TargetMode="External"/><Relationship Id="rId7" Type="http://schemas.openxmlformats.org/officeDocument/2006/relationships/printerSettings" Target="../printerSettings/printerSettings1.bin"/><Relationship Id="rId2" Type="http://schemas.openxmlformats.org/officeDocument/2006/relationships/hyperlink" Target="http://www.nature.com/bjc/journal/v107/n8/abs/bjc2012408a.html" TargetMode="External"/><Relationship Id="rId1" Type="http://schemas.openxmlformats.org/officeDocument/2006/relationships/hyperlink" Target="mailto:ncrasenquiries@phe.gov.uk" TargetMode="External"/><Relationship Id="rId6" Type="http://schemas.openxmlformats.org/officeDocument/2006/relationships/hyperlink" Target="http://www.ncin.org.uk/view?rid=3683" TargetMode="External"/><Relationship Id="rId5" Type="http://schemas.openxmlformats.org/officeDocument/2006/relationships/hyperlink" Target="http://www.ncin.org.uk/view?rid=3681" TargetMode="External"/><Relationship Id="rId4" Type="http://schemas.openxmlformats.org/officeDocument/2006/relationships/hyperlink" Target="http://www.ncin.org.uk/view?rid=3593"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ncin.org.uk/view?rid=3683" TargetMode="External"/><Relationship Id="rId1" Type="http://schemas.openxmlformats.org/officeDocument/2006/relationships/hyperlink" Target="http://www.ncin.org.uk/publications/routes_to_diagnosi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5:J33"/>
  <sheetViews>
    <sheetView showGridLines="0" tabSelected="1" workbookViewId="0"/>
  </sheetViews>
  <sheetFormatPr defaultRowHeight="14.25" x14ac:dyDescent="0.2"/>
  <cols>
    <col min="1" max="1" width="3.42578125" style="28" customWidth="1"/>
    <col min="2" max="2" width="45.7109375" style="28" bestFit="1" customWidth="1"/>
    <col min="3" max="3" width="18.5703125" style="28" customWidth="1"/>
    <col min="4" max="4" width="25.140625" style="28" bestFit="1" customWidth="1"/>
    <col min="5" max="16384" width="9.140625" style="28"/>
  </cols>
  <sheetData>
    <row r="5" spans="2:10" ht="14.25" customHeight="1" x14ac:dyDescent="0.4">
      <c r="E5" s="47"/>
    </row>
    <row r="10" spans="2:10" ht="26.25" x14ac:dyDescent="0.4">
      <c r="B10" s="47" t="s">
        <v>64</v>
      </c>
    </row>
    <row r="11" spans="2:10" ht="17.25" customHeight="1" x14ac:dyDescent="0.25">
      <c r="B11" s="54" t="s">
        <v>99</v>
      </c>
    </row>
    <row r="12" spans="2:10" x14ac:dyDescent="0.2">
      <c r="B12" s="48" t="s">
        <v>130</v>
      </c>
    </row>
    <row r="14" spans="2:10" ht="48.75" customHeight="1" x14ac:dyDescent="0.25">
      <c r="B14" s="68" t="s">
        <v>73</v>
      </c>
      <c r="C14" s="68"/>
      <c r="D14" s="68"/>
      <c r="E14" s="68"/>
      <c r="F14" s="68"/>
      <c r="G14" s="68"/>
      <c r="H14" s="68"/>
      <c r="I14" s="68"/>
      <c r="J14" s="68"/>
    </row>
    <row r="15" spans="2:10" ht="15.75" x14ac:dyDescent="0.25">
      <c r="B15" s="51"/>
      <c r="C15" s="51"/>
      <c r="D15" s="51"/>
      <c r="E15" s="51"/>
      <c r="F15" s="51"/>
      <c r="G15" s="51"/>
      <c r="H15" s="51"/>
      <c r="I15" s="51"/>
      <c r="J15" s="51"/>
    </row>
    <row r="16" spans="2:10" ht="15" x14ac:dyDescent="0.2">
      <c r="B16" s="50" t="s">
        <v>65</v>
      </c>
    </row>
    <row r="17" spans="2:4" ht="15.75" x14ac:dyDescent="0.25">
      <c r="B17" s="49" t="s">
        <v>97</v>
      </c>
    </row>
    <row r="18" spans="2:4" ht="15" x14ac:dyDescent="0.2">
      <c r="B18" s="31" t="s">
        <v>60</v>
      </c>
    </row>
    <row r="19" spans="2:4" ht="15" x14ac:dyDescent="0.2">
      <c r="B19" s="31" t="s">
        <v>66</v>
      </c>
    </row>
    <row r="20" spans="2:4" ht="15" x14ac:dyDescent="0.2">
      <c r="B20" s="31" t="s">
        <v>61</v>
      </c>
    </row>
    <row r="22" spans="2:4" ht="15.75" x14ac:dyDescent="0.25">
      <c r="B22" s="49" t="s">
        <v>98</v>
      </c>
    </row>
    <row r="23" spans="2:4" ht="15" x14ac:dyDescent="0.2">
      <c r="B23" s="31" t="s">
        <v>67</v>
      </c>
    </row>
    <row r="24" spans="2:4" ht="15" x14ac:dyDescent="0.2">
      <c r="B24" s="31" t="s">
        <v>68</v>
      </c>
    </row>
    <row r="25" spans="2:4" x14ac:dyDescent="0.2">
      <c r="B25" s="29"/>
    </row>
    <row r="26" spans="2:4" ht="15.75" x14ac:dyDescent="0.25">
      <c r="B26" s="54" t="s">
        <v>69</v>
      </c>
      <c r="D26" s="30"/>
    </row>
    <row r="27" spans="2:4" s="32" customFormat="1" ht="17.25" customHeight="1" x14ac:dyDescent="0.2">
      <c r="B27" s="31" t="s">
        <v>70</v>
      </c>
    </row>
    <row r="28" spans="2:4" s="32" customFormat="1" ht="17.25" customHeight="1" x14ac:dyDescent="0.2">
      <c r="B28" s="31" t="s">
        <v>45</v>
      </c>
      <c r="D28" s="31"/>
    </row>
    <row r="29" spans="2:4" s="32" customFormat="1" ht="17.25" customHeight="1" x14ac:dyDescent="0.2">
      <c r="B29" s="31" t="s">
        <v>44</v>
      </c>
      <c r="D29" s="31"/>
    </row>
    <row r="30" spans="2:4" s="32" customFormat="1" ht="17.25" customHeight="1" x14ac:dyDescent="0.2">
      <c r="B30" s="31" t="s">
        <v>71</v>
      </c>
      <c r="C30" s="31"/>
      <c r="D30" s="31"/>
    </row>
    <row r="32" spans="2:4" x14ac:dyDescent="0.2">
      <c r="B32" s="28" t="s">
        <v>62</v>
      </c>
    </row>
    <row r="33" spans="2:2" ht="15" x14ac:dyDescent="0.25">
      <c r="B33" s="34" t="s">
        <v>63</v>
      </c>
    </row>
  </sheetData>
  <mergeCells count="1">
    <mergeCell ref="B14:J14"/>
  </mergeCells>
  <hyperlinks>
    <hyperlink ref="B28" location="Age!A1" display="Age"/>
    <hyperlink ref="B29" location="Stage!A1" display="Stage"/>
    <hyperlink ref="B33" r:id="rId1"/>
    <hyperlink ref="B18" r:id="rId2"/>
    <hyperlink ref="B30" location="Comorbidity!A1" display="Charlson comorbidity score"/>
    <hyperlink ref="B27" location="Modality!A1" display="Treatment modality"/>
    <hyperlink ref="B19" r:id="rId3"/>
    <hyperlink ref="B20" r:id="rId4"/>
    <hyperlink ref="B23" r:id="rId5"/>
    <hyperlink ref="B24" r:id="rId6"/>
  </hyperlinks>
  <pageMargins left="0.7" right="0.7" top="0.75" bottom="0.75" header="0.3" footer="0.3"/>
  <pageSetup paperSize="9"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sheetPr>
  <dimension ref="A1:AE128"/>
  <sheetViews>
    <sheetView workbookViewId="0">
      <selection activeCell="F36" sqref="F36"/>
    </sheetView>
  </sheetViews>
  <sheetFormatPr defaultRowHeight="15" x14ac:dyDescent="0.25"/>
  <cols>
    <col min="1" max="1" width="25.85546875" bestFit="1" customWidth="1"/>
    <col min="2" max="3" width="11" bestFit="1" customWidth="1"/>
    <col min="4" max="4" width="24.140625" bestFit="1" customWidth="1"/>
    <col min="5" max="5" width="21.140625" bestFit="1" customWidth="1"/>
    <col min="6" max="6" width="18.7109375" bestFit="1" customWidth="1"/>
    <col min="7" max="7" width="17.42578125" bestFit="1" customWidth="1"/>
    <col min="8" max="8" width="35.85546875" bestFit="1" customWidth="1"/>
    <col min="9" max="9" width="34.5703125" bestFit="1" customWidth="1"/>
    <col min="10" max="10" width="30.85546875" bestFit="1" customWidth="1"/>
    <col min="11" max="11" width="12" bestFit="1" customWidth="1"/>
    <col min="12" max="12" width="19.5703125" bestFit="1" customWidth="1"/>
    <col min="13" max="13" width="11" bestFit="1" customWidth="1"/>
    <col min="14" max="14" width="11.85546875" bestFit="1" customWidth="1"/>
    <col min="15" max="15" width="5.85546875" bestFit="1" customWidth="1"/>
    <col min="16" max="17" width="21.140625" bestFit="1" customWidth="1"/>
    <col min="18" max="19" width="18.7109375" bestFit="1" customWidth="1"/>
    <col min="20" max="21" width="17.42578125" bestFit="1" customWidth="1"/>
    <col min="22" max="23" width="35.85546875" bestFit="1" customWidth="1"/>
    <col min="24" max="25" width="34.5703125" bestFit="1" customWidth="1"/>
    <col min="26" max="27" width="30.85546875" bestFit="1" customWidth="1"/>
    <col min="28" max="29" width="10.28515625" bestFit="1" customWidth="1"/>
    <col min="30" max="31" width="19.5703125" bestFit="1" customWidth="1"/>
  </cols>
  <sheetData>
    <row r="1" spans="1:31" x14ac:dyDescent="0.25">
      <c r="A1" t="s">
        <v>29</v>
      </c>
      <c r="B1" t="s">
        <v>131</v>
      </c>
      <c r="C1" t="s">
        <v>131</v>
      </c>
      <c r="D1" t="s">
        <v>131</v>
      </c>
      <c r="E1" t="s">
        <v>131</v>
      </c>
      <c r="F1" t="s">
        <v>131</v>
      </c>
      <c r="G1" t="s">
        <v>131</v>
      </c>
      <c r="H1" t="s">
        <v>131</v>
      </c>
      <c r="I1" t="s">
        <v>131</v>
      </c>
      <c r="J1" t="s">
        <v>131</v>
      </c>
      <c r="K1" t="s">
        <v>131</v>
      </c>
      <c r="L1" t="s">
        <v>131</v>
      </c>
      <c r="M1" t="s">
        <v>131</v>
      </c>
      <c r="N1" t="s">
        <v>131</v>
      </c>
      <c r="P1" t="s">
        <v>132</v>
      </c>
      <c r="Q1" t="s">
        <v>133</v>
      </c>
      <c r="R1" t="s">
        <v>132</v>
      </c>
      <c r="S1" t="s">
        <v>133</v>
      </c>
      <c r="T1" t="s">
        <v>132</v>
      </c>
      <c r="U1" t="s">
        <v>133</v>
      </c>
      <c r="V1" t="s">
        <v>132</v>
      </c>
      <c r="W1" t="s">
        <v>133</v>
      </c>
      <c r="X1" t="s">
        <v>132</v>
      </c>
      <c r="Y1" t="s">
        <v>133</v>
      </c>
      <c r="Z1" t="s">
        <v>132</v>
      </c>
      <c r="AA1" t="s">
        <v>133</v>
      </c>
      <c r="AB1" t="s">
        <v>132</v>
      </c>
      <c r="AC1" t="s">
        <v>133</v>
      </c>
      <c r="AD1" t="s">
        <v>132</v>
      </c>
      <c r="AE1" t="s">
        <v>133</v>
      </c>
    </row>
    <row r="2" spans="1:31" x14ac:dyDescent="0.25">
      <c r="A2" t="s">
        <v>29</v>
      </c>
      <c r="B2" t="s">
        <v>41</v>
      </c>
      <c r="C2" t="s">
        <v>44</v>
      </c>
      <c r="D2" t="s">
        <v>37</v>
      </c>
      <c r="E2" t="s">
        <v>22</v>
      </c>
      <c r="F2" t="s">
        <v>23</v>
      </c>
      <c r="G2" t="s">
        <v>24</v>
      </c>
      <c r="H2" t="s">
        <v>25</v>
      </c>
      <c r="I2" t="s">
        <v>26</v>
      </c>
      <c r="J2" t="s">
        <v>27</v>
      </c>
      <c r="K2" t="s">
        <v>28</v>
      </c>
      <c r="L2" t="s">
        <v>134</v>
      </c>
      <c r="M2" t="s">
        <v>135</v>
      </c>
      <c r="N2" t="s">
        <v>136</v>
      </c>
      <c r="P2" t="s">
        <v>22</v>
      </c>
      <c r="Q2" t="s">
        <v>22</v>
      </c>
      <c r="R2" t="s">
        <v>23</v>
      </c>
      <c r="S2" t="s">
        <v>23</v>
      </c>
      <c r="T2" t="s">
        <v>24</v>
      </c>
      <c r="U2" t="s">
        <v>24</v>
      </c>
      <c r="V2" t="s">
        <v>25</v>
      </c>
      <c r="W2" t="s">
        <v>25</v>
      </c>
      <c r="X2" t="s">
        <v>26</v>
      </c>
      <c r="Y2" t="s">
        <v>26</v>
      </c>
      <c r="Z2" t="s">
        <v>27</v>
      </c>
      <c r="AA2" t="s">
        <v>27</v>
      </c>
      <c r="AB2" t="s">
        <v>28</v>
      </c>
      <c r="AC2" t="s">
        <v>28</v>
      </c>
      <c r="AD2" t="s">
        <v>134</v>
      </c>
      <c r="AE2" t="s">
        <v>134</v>
      </c>
    </row>
    <row r="3" spans="1:31" x14ac:dyDescent="0.25">
      <c r="A3" t="str">
        <f>B3&amp;VLOOKUP(D3, Lookups!$E$2:$F$8,2,FALSE)&amp;C3</f>
        <v>BreastScreen detectedEarly</v>
      </c>
      <c r="B3" t="s">
        <v>16</v>
      </c>
      <c r="C3" t="s">
        <v>38</v>
      </c>
      <c r="D3" t="s">
        <v>30</v>
      </c>
      <c r="E3" s="1">
        <v>0.14896632210736913</v>
      </c>
      <c r="F3" s="1">
        <v>1.0281204846059797E-3</v>
      </c>
      <c r="G3" s="1">
        <v>8.1138157163498942E-3</v>
      </c>
      <c r="H3" s="1">
        <v>3.6790041124819386E-2</v>
      </c>
      <c r="I3" s="1">
        <v>0.62443036567744803</v>
      </c>
      <c r="J3" s="1">
        <v>2.5008336112037344E-3</v>
      </c>
      <c r="K3" s="1">
        <v>1.0920306768922975E-2</v>
      </c>
      <c r="L3" s="1">
        <v>0.16725019450928086</v>
      </c>
      <c r="M3" s="1">
        <v>1</v>
      </c>
      <c r="N3" s="2">
        <v>35988</v>
      </c>
      <c r="P3" s="1">
        <v>0.14499999999999999</v>
      </c>
      <c r="Q3" s="1">
        <v>0.153</v>
      </c>
      <c r="R3" s="1">
        <v>1E-3</v>
      </c>
      <c r="S3" s="1">
        <v>1E-3</v>
      </c>
      <c r="T3" s="1">
        <v>7.0000000000000001E-3</v>
      </c>
      <c r="U3" s="1">
        <v>8.9999999999999993E-3</v>
      </c>
      <c r="V3" s="1">
        <v>3.5000000000000003E-2</v>
      </c>
      <c r="W3" s="1">
        <v>3.9E-2</v>
      </c>
      <c r="X3" s="1">
        <v>0.61899999999999999</v>
      </c>
      <c r="Y3" s="1">
        <v>0.629</v>
      </c>
      <c r="Z3" s="1">
        <v>2E-3</v>
      </c>
      <c r="AA3" s="1">
        <v>3.0000000000000001E-3</v>
      </c>
      <c r="AB3" s="1">
        <v>0.01</v>
      </c>
      <c r="AC3" s="1">
        <v>1.2E-2</v>
      </c>
      <c r="AD3" s="1">
        <v>0.16300000000000001</v>
      </c>
      <c r="AE3" s="1">
        <v>0.17100000000000001</v>
      </c>
    </row>
    <row r="4" spans="1:31" x14ac:dyDescent="0.25">
      <c r="A4" t="str">
        <f>B4&amp;VLOOKUP(D4, Lookups!$E$2:$F$8,2,FALSE)&amp;C4</f>
        <v>BreastTwo Week WaitEarly</v>
      </c>
      <c r="B4" t="s">
        <v>16</v>
      </c>
      <c r="C4" t="s">
        <v>38</v>
      </c>
      <c r="D4" t="s">
        <v>31</v>
      </c>
      <c r="E4" s="1">
        <v>0.18110538120890285</v>
      </c>
      <c r="F4" s="1">
        <v>4.4284262791633913E-3</v>
      </c>
      <c r="G4" s="1">
        <v>5.2527653700899105E-3</v>
      </c>
      <c r="H4" s="1">
        <v>7.7947970783888959E-2</v>
      </c>
      <c r="I4" s="1">
        <v>0.31430324176140179</v>
      </c>
      <c r="J4" s="1">
        <v>5.0610586047581622E-3</v>
      </c>
      <c r="K4" s="1">
        <v>0.10718325249698062</v>
      </c>
      <c r="L4" s="1">
        <v>0.30471790349481431</v>
      </c>
      <c r="M4" s="1">
        <v>1</v>
      </c>
      <c r="N4" s="2">
        <v>52163</v>
      </c>
      <c r="P4" s="1">
        <v>0.17799999999999999</v>
      </c>
      <c r="Q4" s="1">
        <v>0.184</v>
      </c>
      <c r="R4" s="1">
        <v>4.0000000000000001E-3</v>
      </c>
      <c r="S4" s="1">
        <v>5.0000000000000001E-3</v>
      </c>
      <c r="T4" s="1">
        <v>5.0000000000000001E-3</v>
      </c>
      <c r="U4" s="1">
        <v>6.0000000000000001E-3</v>
      </c>
      <c r="V4" s="1">
        <v>7.5999999999999998E-2</v>
      </c>
      <c r="W4" s="1">
        <v>0.08</v>
      </c>
      <c r="X4" s="1">
        <v>0.31</v>
      </c>
      <c r="Y4" s="1">
        <v>0.318</v>
      </c>
      <c r="Z4" s="1">
        <v>4.0000000000000001E-3</v>
      </c>
      <c r="AA4" s="1">
        <v>6.0000000000000001E-3</v>
      </c>
      <c r="AB4" s="1">
        <v>0.105</v>
      </c>
      <c r="AC4" s="1">
        <v>0.11</v>
      </c>
      <c r="AD4" s="1">
        <v>0.30099999999999999</v>
      </c>
      <c r="AE4" s="1">
        <v>0.309</v>
      </c>
    </row>
    <row r="5" spans="1:31" x14ac:dyDescent="0.25">
      <c r="A5" t="str">
        <f>B5&amp;VLOOKUP(D5, Lookups!$E$2:$F$8,2,FALSE)&amp;C5</f>
        <v>BreastGP referralEarly</v>
      </c>
      <c r="B5" t="s">
        <v>16</v>
      </c>
      <c r="C5" t="s">
        <v>38</v>
      </c>
      <c r="D5" t="s">
        <v>2</v>
      </c>
      <c r="E5" s="1">
        <v>0.25929738772358768</v>
      </c>
      <c r="F5" s="1">
        <v>1.1581521039763223E-2</v>
      </c>
      <c r="G5" s="1">
        <v>3.2428258911337021E-2</v>
      </c>
      <c r="H5" s="1">
        <v>8.21001158152104E-2</v>
      </c>
      <c r="I5" s="1">
        <v>0.27319521297130356</v>
      </c>
      <c r="J5" s="1">
        <v>1.5956762321451552E-2</v>
      </c>
      <c r="K5" s="1">
        <v>0.15043108994981341</v>
      </c>
      <c r="L5" s="1">
        <v>0.17500965126753312</v>
      </c>
      <c r="M5" s="1">
        <v>0.99999999999999989</v>
      </c>
      <c r="N5" s="2">
        <v>7771</v>
      </c>
      <c r="P5" s="1">
        <v>0.25</v>
      </c>
      <c r="Q5" s="1">
        <v>0.26900000000000002</v>
      </c>
      <c r="R5" s="1">
        <v>8.9999999999999993E-3</v>
      </c>
      <c r="S5" s="1">
        <v>1.4E-2</v>
      </c>
      <c r="T5" s="1">
        <v>2.9000000000000001E-2</v>
      </c>
      <c r="U5" s="1">
        <v>3.6999999999999998E-2</v>
      </c>
      <c r="V5" s="1">
        <v>7.5999999999999998E-2</v>
      </c>
      <c r="W5" s="1">
        <v>8.7999999999999995E-2</v>
      </c>
      <c r="X5" s="1">
        <v>0.26300000000000001</v>
      </c>
      <c r="Y5" s="1">
        <v>0.28299999999999997</v>
      </c>
      <c r="Z5" s="1">
        <v>1.2999999999999999E-2</v>
      </c>
      <c r="AA5" s="1">
        <v>1.9E-2</v>
      </c>
      <c r="AB5" s="1">
        <v>0.14299999999999999</v>
      </c>
      <c r="AC5" s="1">
        <v>0.159</v>
      </c>
      <c r="AD5" s="1">
        <v>0.16700000000000001</v>
      </c>
      <c r="AE5" s="1">
        <v>0.184</v>
      </c>
    </row>
    <row r="6" spans="1:31" x14ac:dyDescent="0.25">
      <c r="A6" t="str">
        <f>B6&amp;VLOOKUP(D6, Lookups!$E$2:$F$8,2,FALSE)&amp;C6</f>
        <v>BreastIP &amp; OPEarly</v>
      </c>
      <c r="B6" t="s">
        <v>16</v>
      </c>
      <c r="C6" t="s">
        <v>38</v>
      </c>
      <c r="D6" t="s">
        <v>32</v>
      </c>
      <c r="E6" s="1">
        <v>0.29363001745200701</v>
      </c>
      <c r="F6" s="1">
        <v>1.0907504363001745E-2</v>
      </c>
      <c r="G6" s="1">
        <v>2.006980802792321E-2</v>
      </c>
      <c r="H6" s="1">
        <v>9.293193717277487E-2</v>
      </c>
      <c r="I6" s="1">
        <v>0.33769633507853403</v>
      </c>
      <c r="J6" s="1">
        <v>1.1343804537521814E-2</v>
      </c>
      <c r="K6" s="1">
        <v>9.2495636998254804E-2</v>
      </c>
      <c r="L6" s="1">
        <v>0.14092495636998253</v>
      </c>
      <c r="M6" s="1">
        <v>1</v>
      </c>
      <c r="N6" s="2">
        <v>2292</v>
      </c>
      <c r="P6" s="1">
        <v>0.27500000000000002</v>
      </c>
      <c r="Q6" s="1">
        <v>0.313</v>
      </c>
      <c r="R6" s="1">
        <v>7.0000000000000001E-3</v>
      </c>
      <c r="S6" s="1">
        <v>1.6E-2</v>
      </c>
      <c r="T6" s="1">
        <v>1.4999999999999999E-2</v>
      </c>
      <c r="U6" s="1">
        <v>2.7E-2</v>
      </c>
      <c r="V6" s="1">
        <v>8.2000000000000003E-2</v>
      </c>
      <c r="W6" s="1">
        <v>0.106</v>
      </c>
      <c r="X6" s="1">
        <v>0.31900000000000001</v>
      </c>
      <c r="Y6" s="1">
        <v>0.35699999999999998</v>
      </c>
      <c r="Z6" s="1">
        <v>8.0000000000000002E-3</v>
      </c>
      <c r="AA6" s="1">
        <v>1.7000000000000001E-2</v>
      </c>
      <c r="AB6" s="1">
        <v>8.1000000000000003E-2</v>
      </c>
      <c r="AC6" s="1">
        <v>0.105</v>
      </c>
      <c r="AD6" s="1">
        <v>0.127</v>
      </c>
      <c r="AE6" s="1">
        <v>0.156</v>
      </c>
    </row>
    <row r="7" spans="1:31" x14ac:dyDescent="0.25">
      <c r="A7" t="str">
        <f>B7&amp;VLOOKUP(D7, Lookups!$E$2:$F$8,2,FALSE)&amp;C7</f>
        <v>BreastEmergency presentationEarly</v>
      </c>
      <c r="B7" t="s">
        <v>16</v>
      </c>
      <c r="C7" t="s">
        <v>38</v>
      </c>
      <c r="D7" t="s">
        <v>33</v>
      </c>
      <c r="E7" s="1">
        <v>0.17190506735086594</v>
      </c>
      <c r="F7" s="1">
        <v>1.3470173187940988E-2</v>
      </c>
      <c r="G7" s="1">
        <v>1.731879409878127E-2</v>
      </c>
      <c r="H7" s="1">
        <v>3.784477228992944E-2</v>
      </c>
      <c r="I7" s="1">
        <v>0.15394483643361129</v>
      </c>
      <c r="J7" s="1">
        <v>7.0558050032071837E-3</v>
      </c>
      <c r="K7" s="1">
        <v>0.50545221295702369</v>
      </c>
      <c r="L7" s="1">
        <v>9.3008338678640154E-2</v>
      </c>
      <c r="M7" s="1">
        <v>0.99999999999999989</v>
      </c>
      <c r="N7" s="2">
        <v>1559</v>
      </c>
      <c r="P7" s="1">
        <v>0.154</v>
      </c>
      <c r="Q7" s="1">
        <v>0.191</v>
      </c>
      <c r="R7" s="1">
        <v>8.9999999999999993E-3</v>
      </c>
      <c r="S7" s="1">
        <v>2.1000000000000001E-2</v>
      </c>
      <c r="T7" s="1">
        <v>1.2E-2</v>
      </c>
      <c r="U7" s="1">
        <v>2.5000000000000001E-2</v>
      </c>
      <c r="V7" s="1">
        <v>2.9000000000000001E-2</v>
      </c>
      <c r="W7" s="1">
        <v>4.9000000000000002E-2</v>
      </c>
      <c r="X7" s="1">
        <v>0.13700000000000001</v>
      </c>
      <c r="Y7" s="1">
        <v>0.17299999999999999</v>
      </c>
      <c r="Z7" s="1">
        <v>4.0000000000000001E-3</v>
      </c>
      <c r="AA7" s="1">
        <v>1.2999999999999999E-2</v>
      </c>
      <c r="AB7" s="1">
        <v>0.48099999999999998</v>
      </c>
      <c r="AC7" s="1">
        <v>0.53</v>
      </c>
      <c r="AD7" s="1">
        <v>0.08</v>
      </c>
      <c r="AE7" s="1">
        <v>0.108</v>
      </c>
    </row>
    <row r="8" spans="1:31" x14ac:dyDescent="0.25">
      <c r="A8" t="str">
        <f>B8&amp;VLOOKUP(D8, Lookups!$E$2:$F$8,2,FALSE)&amp;C8</f>
        <v>BreastUnknownEarly</v>
      </c>
      <c r="B8" t="s">
        <v>16</v>
      </c>
      <c r="C8" t="s">
        <v>38</v>
      </c>
      <c r="D8" t="s">
        <v>4</v>
      </c>
      <c r="E8" s="1">
        <v>0.30302096177558568</v>
      </c>
      <c r="F8" s="1">
        <v>1.1405672009864365E-2</v>
      </c>
      <c r="G8" s="1">
        <v>4.3464858199753389E-2</v>
      </c>
      <c r="H8" s="1">
        <v>6.5659679408138105E-2</v>
      </c>
      <c r="I8" s="1">
        <v>0.344019728729963</v>
      </c>
      <c r="J8" s="1">
        <v>1.8495684340320593E-2</v>
      </c>
      <c r="K8" s="1">
        <v>6.0110974106041923E-2</v>
      </c>
      <c r="L8" s="1">
        <v>0.15382244143033291</v>
      </c>
      <c r="M8" s="1">
        <v>1</v>
      </c>
      <c r="N8" s="2">
        <v>3244</v>
      </c>
      <c r="P8" s="1">
        <v>0.28699999999999998</v>
      </c>
      <c r="Q8" s="1">
        <v>0.31900000000000001</v>
      </c>
      <c r="R8" s="1">
        <v>8.0000000000000002E-3</v>
      </c>
      <c r="S8" s="1">
        <v>1.6E-2</v>
      </c>
      <c r="T8" s="1">
        <v>3.6999999999999998E-2</v>
      </c>
      <c r="U8" s="1">
        <v>5.0999999999999997E-2</v>
      </c>
      <c r="V8" s="1">
        <v>5.8000000000000003E-2</v>
      </c>
      <c r="W8" s="1">
        <v>7.4999999999999997E-2</v>
      </c>
      <c r="X8" s="1">
        <v>0.32800000000000001</v>
      </c>
      <c r="Y8" s="1">
        <v>0.36099999999999999</v>
      </c>
      <c r="Z8" s="1">
        <v>1.4E-2</v>
      </c>
      <c r="AA8" s="1">
        <v>2.4E-2</v>
      </c>
      <c r="AB8" s="1">
        <v>5.1999999999999998E-2</v>
      </c>
      <c r="AC8" s="1">
        <v>6.9000000000000006E-2</v>
      </c>
      <c r="AD8" s="1">
        <v>0.14199999999999999</v>
      </c>
      <c r="AE8" s="1">
        <v>0.16700000000000001</v>
      </c>
    </row>
    <row r="9" spans="1:31" x14ac:dyDescent="0.25">
      <c r="A9" t="str">
        <f>B9&amp;VLOOKUP(D9, Lookups!$E$2:$F$8,2,FALSE)&amp;C9</f>
        <v>BreastAll RoutesEarly</v>
      </c>
      <c r="B9" t="s">
        <v>16</v>
      </c>
      <c r="C9" t="s">
        <v>38</v>
      </c>
      <c r="D9" t="s">
        <v>34</v>
      </c>
      <c r="E9" s="1">
        <v>0.18197967325781181</v>
      </c>
      <c r="F9" s="1">
        <v>4.2808468505198174E-3</v>
      </c>
      <c r="G9" s="1">
        <v>1.00177640583593E-2</v>
      </c>
      <c r="H9" s="1">
        <v>6.322257491481989E-2</v>
      </c>
      <c r="I9" s="1">
        <v>0.41857169205082656</v>
      </c>
      <c r="J9" s="1">
        <v>5.5816030363920518E-3</v>
      </c>
      <c r="K9" s="1">
        <v>8.1035168952697134E-2</v>
      </c>
      <c r="L9" s="1">
        <v>0.23531067687857343</v>
      </c>
      <c r="M9" s="1">
        <v>1</v>
      </c>
      <c r="N9" s="2">
        <v>103017</v>
      </c>
      <c r="P9" s="1">
        <v>0.18</v>
      </c>
      <c r="Q9" s="1">
        <v>0.184</v>
      </c>
      <c r="R9" s="1">
        <v>4.0000000000000001E-3</v>
      </c>
      <c r="S9" s="1">
        <v>5.0000000000000001E-3</v>
      </c>
      <c r="T9" s="1">
        <v>8.9999999999999993E-3</v>
      </c>
      <c r="U9" s="1">
        <v>1.0999999999999999E-2</v>
      </c>
      <c r="V9" s="1">
        <v>6.2E-2</v>
      </c>
      <c r="W9" s="1">
        <v>6.5000000000000002E-2</v>
      </c>
      <c r="X9" s="1">
        <v>0.41599999999999998</v>
      </c>
      <c r="Y9" s="1">
        <v>0.42199999999999999</v>
      </c>
      <c r="Z9" s="1">
        <v>5.0000000000000001E-3</v>
      </c>
      <c r="AA9" s="1">
        <v>6.0000000000000001E-3</v>
      </c>
      <c r="AB9" s="1">
        <v>7.9000000000000001E-2</v>
      </c>
      <c r="AC9" s="1">
        <v>8.3000000000000004E-2</v>
      </c>
      <c r="AD9" s="1">
        <v>0.23300000000000001</v>
      </c>
      <c r="AE9" s="1">
        <v>0.23799999999999999</v>
      </c>
    </row>
    <row r="10" spans="1:31" x14ac:dyDescent="0.25">
      <c r="A10" t="str">
        <f>B10&amp;VLOOKUP(D10, Lookups!$E$2:$F$8,2,FALSE)&amp;C10</f>
        <v>BreastScreen detectedLate</v>
      </c>
      <c r="B10" t="s">
        <v>16</v>
      </c>
      <c r="C10" t="s">
        <v>39</v>
      </c>
      <c r="D10" t="s">
        <v>30</v>
      </c>
      <c r="E10" s="1">
        <v>3.8975501113585748E-2</v>
      </c>
      <c r="F10" s="1">
        <v>3.7305122494432075E-2</v>
      </c>
      <c r="G10" s="1">
        <v>8.9086859688195987E-3</v>
      </c>
      <c r="H10" s="1">
        <v>7.5723830734966593E-2</v>
      </c>
      <c r="I10" s="1">
        <v>0.11971046770601336</v>
      </c>
      <c r="J10" s="1">
        <v>2.0044543429844099E-2</v>
      </c>
      <c r="K10" s="1">
        <v>2.5055679287305122E-2</v>
      </c>
      <c r="L10" s="1">
        <v>0.67427616926503342</v>
      </c>
      <c r="M10" s="1">
        <v>1</v>
      </c>
      <c r="N10" s="2">
        <v>1796</v>
      </c>
      <c r="P10" s="1">
        <v>3.1E-2</v>
      </c>
      <c r="Q10" s="1">
        <v>4.9000000000000002E-2</v>
      </c>
      <c r="R10" s="1">
        <v>2.9000000000000001E-2</v>
      </c>
      <c r="S10" s="1">
        <v>4.7E-2</v>
      </c>
      <c r="T10" s="1">
        <v>5.0000000000000001E-3</v>
      </c>
      <c r="U10" s="1">
        <v>1.4E-2</v>
      </c>
      <c r="V10" s="1">
        <v>6.4000000000000001E-2</v>
      </c>
      <c r="W10" s="1">
        <v>8.8999999999999996E-2</v>
      </c>
      <c r="X10" s="1">
        <v>0.106</v>
      </c>
      <c r="Y10" s="1">
        <v>0.13600000000000001</v>
      </c>
      <c r="Z10" s="1">
        <v>1.4999999999999999E-2</v>
      </c>
      <c r="AA10" s="1">
        <v>2.8000000000000001E-2</v>
      </c>
      <c r="AB10" s="1">
        <v>1.9E-2</v>
      </c>
      <c r="AC10" s="1">
        <v>3.3000000000000002E-2</v>
      </c>
      <c r="AD10" s="1">
        <v>0.65200000000000002</v>
      </c>
      <c r="AE10" s="1">
        <v>0.69599999999999995</v>
      </c>
    </row>
    <row r="11" spans="1:31" x14ac:dyDescent="0.25">
      <c r="A11" t="str">
        <f>B11&amp;VLOOKUP(D11, Lookups!$E$2:$F$8,2,FALSE)&amp;C11</f>
        <v>BreastTwo Week WaitLate</v>
      </c>
      <c r="B11" t="s">
        <v>16</v>
      </c>
      <c r="C11" t="s">
        <v>39</v>
      </c>
      <c r="D11" t="s">
        <v>31</v>
      </c>
      <c r="E11" s="1">
        <v>4.7486761003559336E-2</v>
      </c>
      <c r="F11" s="1">
        <v>7.0231790954075876E-2</v>
      </c>
      <c r="G11" s="1">
        <v>3.1773591457591802E-2</v>
      </c>
      <c r="H11" s="1">
        <v>5.6688948693462977E-2</v>
      </c>
      <c r="I11" s="1">
        <v>0.13169545967531904</v>
      </c>
      <c r="J11" s="1">
        <v>3.7242816216685473E-2</v>
      </c>
      <c r="K11" s="1">
        <v>0.12622623491622537</v>
      </c>
      <c r="L11" s="1">
        <v>0.49865439708308013</v>
      </c>
      <c r="M11" s="1">
        <v>1</v>
      </c>
      <c r="N11" s="2">
        <v>11519</v>
      </c>
      <c r="P11" s="1">
        <v>4.3999999999999997E-2</v>
      </c>
      <c r="Q11" s="1">
        <v>5.1999999999999998E-2</v>
      </c>
      <c r="R11" s="1">
        <v>6.6000000000000003E-2</v>
      </c>
      <c r="S11" s="1">
        <v>7.4999999999999997E-2</v>
      </c>
      <c r="T11" s="1">
        <v>2.9000000000000001E-2</v>
      </c>
      <c r="U11" s="1">
        <v>3.5000000000000003E-2</v>
      </c>
      <c r="V11" s="1">
        <v>5.2999999999999999E-2</v>
      </c>
      <c r="W11" s="1">
        <v>6.0999999999999999E-2</v>
      </c>
      <c r="X11" s="1">
        <v>0.126</v>
      </c>
      <c r="Y11" s="1">
        <v>0.13800000000000001</v>
      </c>
      <c r="Z11" s="1">
        <v>3.4000000000000002E-2</v>
      </c>
      <c r="AA11" s="1">
        <v>4.1000000000000002E-2</v>
      </c>
      <c r="AB11" s="1">
        <v>0.12</v>
      </c>
      <c r="AC11" s="1">
        <v>0.13200000000000001</v>
      </c>
      <c r="AD11" s="1">
        <v>0.49</v>
      </c>
      <c r="AE11" s="1">
        <v>0.50800000000000001</v>
      </c>
    </row>
    <row r="12" spans="1:31" x14ac:dyDescent="0.25">
      <c r="A12" t="str">
        <f>B12&amp;VLOOKUP(D12, Lookups!$E$2:$F$8,2,FALSE)&amp;C12</f>
        <v>BreastGP referralLate</v>
      </c>
      <c r="B12" t="s">
        <v>16</v>
      </c>
      <c r="C12" t="s">
        <v>39</v>
      </c>
      <c r="D12" t="s">
        <v>2</v>
      </c>
      <c r="E12" s="1">
        <v>6.5809768637532129E-2</v>
      </c>
      <c r="F12" s="1">
        <v>0.11876606683804627</v>
      </c>
      <c r="G12" s="1">
        <v>9.8200514138817474E-2</v>
      </c>
      <c r="H12" s="1">
        <v>5.2956298200514139E-2</v>
      </c>
      <c r="I12" s="1">
        <v>8.0205655526992284E-2</v>
      </c>
      <c r="J12" s="1">
        <v>8.5347043701799491E-2</v>
      </c>
      <c r="K12" s="1">
        <v>0.24267352185089974</v>
      </c>
      <c r="L12" s="1">
        <v>0.25604113110539845</v>
      </c>
      <c r="M12" s="1">
        <v>1</v>
      </c>
      <c r="N12" s="2">
        <v>1945</v>
      </c>
      <c r="P12" s="1">
        <v>5.6000000000000001E-2</v>
      </c>
      <c r="Q12" s="1">
        <v>7.8E-2</v>
      </c>
      <c r="R12" s="1">
        <v>0.105</v>
      </c>
      <c r="S12" s="1">
        <v>0.13400000000000001</v>
      </c>
      <c r="T12" s="1">
        <v>8.5999999999999993E-2</v>
      </c>
      <c r="U12" s="1">
        <v>0.112</v>
      </c>
      <c r="V12" s="1">
        <v>4.3999999999999997E-2</v>
      </c>
      <c r="W12" s="1">
        <v>6.4000000000000001E-2</v>
      </c>
      <c r="X12" s="1">
        <v>6.9000000000000006E-2</v>
      </c>
      <c r="Y12" s="1">
        <v>9.2999999999999999E-2</v>
      </c>
      <c r="Z12" s="1">
        <v>7.3999999999999996E-2</v>
      </c>
      <c r="AA12" s="1">
        <v>9.9000000000000005E-2</v>
      </c>
      <c r="AB12" s="1">
        <v>0.224</v>
      </c>
      <c r="AC12" s="1">
        <v>0.26200000000000001</v>
      </c>
      <c r="AD12" s="1">
        <v>0.23699999999999999</v>
      </c>
      <c r="AE12" s="1">
        <v>0.27600000000000002</v>
      </c>
    </row>
    <row r="13" spans="1:31" x14ac:dyDescent="0.25">
      <c r="A13" t="str">
        <f>B13&amp;VLOOKUP(D13, Lookups!$E$2:$F$8,2,FALSE)&amp;C13</f>
        <v>BreastIP &amp; OPLate</v>
      </c>
      <c r="B13" t="s">
        <v>16</v>
      </c>
      <c r="C13" t="s">
        <v>39</v>
      </c>
      <c r="D13" t="s">
        <v>32</v>
      </c>
      <c r="E13" s="1">
        <v>3.8391224862888484E-2</v>
      </c>
      <c r="F13" s="1">
        <v>0.15356489945155394</v>
      </c>
      <c r="G13" s="1">
        <v>8.226691042047532E-2</v>
      </c>
      <c r="H13" s="1">
        <v>6.0329067641681902E-2</v>
      </c>
      <c r="I13" s="1">
        <v>8.957952468007313E-2</v>
      </c>
      <c r="J13" s="1">
        <v>0.10786106032906764</v>
      </c>
      <c r="K13" s="1">
        <v>0.24680073126142596</v>
      </c>
      <c r="L13" s="1">
        <v>0.22120658135283364</v>
      </c>
      <c r="M13" s="1">
        <v>1</v>
      </c>
      <c r="N13" s="2">
        <v>547</v>
      </c>
      <c r="P13" s="1">
        <v>2.5000000000000001E-2</v>
      </c>
      <c r="Q13" s="1">
        <v>5.8000000000000003E-2</v>
      </c>
      <c r="R13" s="1">
        <v>0.126</v>
      </c>
      <c r="S13" s="1">
        <v>0.186</v>
      </c>
      <c r="T13" s="1">
        <v>6.2E-2</v>
      </c>
      <c r="U13" s="1">
        <v>0.108</v>
      </c>
      <c r="V13" s="1">
        <v>4.2999999999999997E-2</v>
      </c>
      <c r="W13" s="1">
        <v>8.4000000000000005E-2</v>
      </c>
      <c r="X13" s="1">
        <v>6.8000000000000005E-2</v>
      </c>
      <c r="Y13" s="1">
        <v>0.11600000000000001</v>
      </c>
      <c r="Z13" s="1">
        <v>8.5000000000000006E-2</v>
      </c>
      <c r="AA13" s="1">
        <v>0.13700000000000001</v>
      </c>
      <c r="AB13" s="1">
        <v>0.21299999999999999</v>
      </c>
      <c r="AC13" s="1">
        <v>0.28499999999999998</v>
      </c>
      <c r="AD13" s="1">
        <v>0.188</v>
      </c>
      <c r="AE13" s="1">
        <v>0.25800000000000001</v>
      </c>
    </row>
    <row r="14" spans="1:31" x14ac:dyDescent="0.25">
      <c r="A14" t="str">
        <f>B14&amp;VLOOKUP(D14, Lookups!$E$2:$F$8,2,FALSE)&amp;C14</f>
        <v>BreastEmergency presentationLate</v>
      </c>
      <c r="B14" t="s">
        <v>16</v>
      </c>
      <c r="C14" t="s">
        <v>39</v>
      </c>
      <c r="D14" t="s">
        <v>33</v>
      </c>
      <c r="E14" s="1">
        <v>2.2644927536231884E-2</v>
      </c>
      <c r="F14" s="1">
        <v>0.10461956521739131</v>
      </c>
      <c r="G14" s="1">
        <v>0.15670289855072464</v>
      </c>
      <c r="H14" s="1">
        <v>8.605072463768116E-3</v>
      </c>
      <c r="I14" s="1">
        <v>2.5362318840579712E-2</v>
      </c>
      <c r="J14" s="1">
        <v>8.9221014492753617E-2</v>
      </c>
      <c r="K14" s="1">
        <v>0.54619565217391308</v>
      </c>
      <c r="L14" s="1">
        <v>4.664855072463768E-2</v>
      </c>
      <c r="M14" s="1">
        <v>1</v>
      </c>
      <c r="N14" s="2">
        <v>2208</v>
      </c>
      <c r="P14" s="1">
        <v>1.7000000000000001E-2</v>
      </c>
      <c r="Q14" s="1">
        <v>0.03</v>
      </c>
      <c r="R14" s="1">
        <v>9.2999999999999999E-2</v>
      </c>
      <c r="S14" s="1">
        <v>0.11799999999999999</v>
      </c>
      <c r="T14" s="1">
        <v>0.14199999999999999</v>
      </c>
      <c r="U14" s="1">
        <v>0.17199999999999999</v>
      </c>
      <c r="V14" s="1">
        <v>6.0000000000000001E-3</v>
      </c>
      <c r="W14" s="1">
        <v>1.2999999999999999E-2</v>
      </c>
      <c r="X14" s="1">
        <v>0.02</v>
      </c>
      <c r="Y14" s="1">
        <v>3.3000000000000002E-2</v>
      </c>
      <c r="Z14" s="1">
        <v>7.8E-2</v>
      </c>
      <c r="AA14" s="1">
        <v>0.10199999999999999</v>
      </c>
      <c r="AB14" s="1">
        <v>0.52500000000000002</v>
      </c>
      <c r="AC14" s="1">
        <v>0.56699999999999995</v>
      </c>
      <c r="AD14" s="1">
        <v>3.9E-2</v>
      </c>
      <c r="AE14" s="1">
        <v>5.6000000000000001E-2</v>
      </c>
    </row>
    <row r="15" spans="1:31" x14ac:dyDescent="0.25">
      <c r="A15" t="str">
        <f>B15&amp;VLOOKUP(D15, Lookups!$E$2:$F$8,2,FALSE)&amp;C15</f>
        <v>BreastUnknownLate</v>
      </c>
      <c r="B15" t="s">
        <v>16</v>
      </c>
      <c r="C15" t="s">
        <v>39</v>
      </c>
      <c r="D15" t="s">
        <v>4</v>
      </c>
      <c r="E15" s="1">
        <v>0.11353711790393013</v>
      </c>
      <c r="F15" s="1">
        <v>0.10262008733624454</v>
      </c>
      <c r="G15" s="1">
        <v>4.8034934497816595E-2</v>
      </c>
      <c r="H15" s="1">
        <v>5.8951965065502182E-2</v>
      </c>
      <c r="I15" s="1">
        <v>8.7336244541484712E-2</v>
      </c>
      <c r="J15" s="1">
        <v>7.8602620087336247E-2</v>
      </c>
      <c r="K15" s="1">
        <v>0.20742358078602621</v>
      </c>
      <c r="L15" s="1">
        <v>0.30349344978165937</v>
      </c>
      <c r="M15" s="1">
        <v>1</v>
      </c>
      <c r="N15" s="2">
        <v>458</v>
      </c>
      <c r="P15" s="1">
        <v>8.7999999999999995E-2</v>
      </c>
      <c r="Q15" s="1">
        <v>0.14599999999999999</v>
      </c>
      <c r="R15" s="1">
        <v>7.8E-2</v>
      </c>
      <c r="S15" s="1">
        <v>0.13400000000000001</v>
      </c>
      <c r="T15" s="1">
        <v>3.2000000000000001E-2</v>
      </c>
      <c r="U15" s="1">
        <v>7.1999999999999995E-2</v>
      </c>
      <c r="V15" s="1">
        <v>4.1000000000000002E-2</v>
      </c>
      <c r="W15" s="1">
        <v>8.4000000000000005E-2</v>
      </c>
      <c r="X15" s="1">
        <v>6.5000000000000002E-2</v>
      </c>
      <c r="Y15" s="1">
        <v>0.11700000000000001</v>
      </c>
      <c r="Z15" s="1">
        <v>5.7000000000000002E-2</v>
      </c>
      <c r="AA15" s="1">
        <v>0.107</v>
      </c>
      <c r="AB15" s="1">
        <v>0.17299999999999999</v>
      </c>
      <c r="AC15" s="1">
        <v>0.247</v>
      </c>
      <c r="AD15" s="1">
        <v>0.26300000000000001</v>
      </c>
      <c r="AE15" s="1">
        <v>0.34699999999999998</v>
      </c>
    </row>
    <row r="16" spans="1:31" x14ac:dyDescent="0.25">
      <c r="A16" t="str">
        <f>B16&amp;VLOOKUP(D16, Lookups!$E$2:$F$8,2,FALSE)&amp;C16</f>
        <v>BreastAll RoutesLate</v>
      </c>
      <c r="B16" t="s">
        <v>16</v>
      </c>
      <c r="C16" t="s">
        <v>39</v>
      </c>
      <c r="D16" t="s">
        <v>34</v>
      </c>
      <c r="E16" s="1">
        <v>4.6987495263357333E-2</v>
      </c>
      <c r="F16" s="1">
        <v>7.9521463757916966E-2</v>
      </c>
      <c r="G16" s="1">
        <v>5.3375196232339092E-2</v>
      </c>
      <c r="H16" s="1">
        <v>5.256320034645158E-2</v>
      </c>
      <c r="I16" s="1">
        <v>0.11005250906728739</v>
      </c>
      <c r="J16" s="1">
        <v>4.9964813511611542E-2</v>
      </c>
      <c r="K16" s="1">
        <v>0.18443133221458344</v>
      </c>
      <c r="L16" s="1">
        <v>0.42310398960645268</v>
      </c>
      <c r="M16" s="1">
        <v>1</v>
      </c>
      <c r="N16" s="2">
        <v>18473</v>
      </c>
      <c r="P16" s="1">
        <v>4.3999999999999997E-2</v>
      </c>
      <c r="Q16" s="1">
        <v>0.05</v>
      </c>
      <c r="R16" s="1">
        <v>7.5999999999999998E-2</v>
      </c>
      <c r="S16" s="1">
        <v>8.4000000000000005E-2</v>
      </c>
      <c r="T16" s="1">
        <v>0.05</v>
      </c>
      <c r="U16" s="1">
        <v>5.7000000000000002E-2</v>
      </c>
      <c r="V16" s="1">
        <v>4.9000000000000002E-2</v>
      </c>
      <c r="W16" s="1">
        <v>5.6000000000000001E-2</v>
      </c>
      <c r="X16" s="1">
        <v>0.106</v>
      </c>
      <c r="Y16" s="1">
        <v>0.115</v>
      </c>
      <c r="Z16" s="1">
        <v>4.7E-2</v>
      </c>
      <c r="AA16" s="1">
        <v>5.2999999999999999E-2</v>
      </c>
      <c r="AB16" s="1">
        <v>0.17899999999999999</v>
      </c>
      <c r="AC16" s="1">
        <v>0.19</v>
      </c>
      <c r="AD16" s="1">
        <v>0.41599999999999998</v>
      </c>
      <c r="AE16" s="1">
        <v>0.43</v>
      </c>
    </row>
    <row r="17" spans="1:31" x14ac:dyDescent="0.25">
      <c r="A17" t="str">
        <f>B17&amp;VLOOKUP(D17, Lookups!$E$2:$F$8,2,FALSE)&amp;C17</f>
        <v>BreastScreen detectedUnknown</v>
      </c>
      <c r="B17" t="s">
        <v>16</v>
      </c>
      <c r="C17" t="s">
        <v>4</v>
      </c>
      <c r="D17" t="s">
        <v>30</v>
      </c>
      <c r="E17" s="1">
        <v>0.16650943396226414</v>
      </c>
      <c r="F17" s="1">
        <v>1.0377358490566037E-2</v>
      </c>
      <c r="G17" s="1">
        <v>3.2547169811320754E-2</v>
      </c>
      <c r="H17" s="1">
        <v>4.0566037735849055E-2</v>
      </c>
      <c r="I17" s="1">
        <v>0.31650943396226416</v>
      </c>
      <c r="J17" s="1">
        <v>8.962264150943396E-3</v>
      </c>
      <c r="K17" s="1">
        <v>0.20283018867924529</v>
      </c>
      <c r="L17" s="1">
        <v>0.22169811320754718</v>
      </c>
      <c r="M17" s="1">
        <v>1</v>
      </c>
      <c r="N17" s="2">
        <v>2120</v>
      </c>
      <c r="P17" s="1">
        <v>0.151</v>
      </c>
      <c r="Q17" s="1">
        <v>0.183</v>
      </c>
      <c r="R17" s="1">
        <v>7.0000000000000001E-3</v>
      </c>
      <c r="S17" s="1">
        <v>1.6E-2</v>
      </c>
      <c r="T17" s="1">
        <v>2.5999999999999999E-2</v>
      </c>
      <c r="U17" s="1">
        <v>4.1000000000000002E-2</v>
      </c>
      <c r="V17" s="1">
        <v>3.3000000000000002E-2</v>
      </c>
      <c r="W17" s="1">
        <v>0.05</v>
      </c>
      <c r="X17" s="1">
        <v>0.29699999999999999</v>
      </c>
      <c r="Y17" s="1">
        <v>0.33700000000000002</v>
      </c>
      <c r="Z17" s="1">
        <v>6.0000000000000001E-3</v>
      </c>
      <c r="AA17" s="1">
        <v>1.4E-2</v>
      </c>
      <c r="AB17" s="1">
        <v>0.186</v>
      </c>
      <c r="AC17" s="1">
        <v>0.22</v>
      </c>
      <c r="AD17" s="1">
        <v>0.20499999999999999</v>
      </c>
      <c r="AE17" s="1">
        <v>0.24</v>
      </c>
    </row>
    <row r="18" spans="1:31" x14ac:dyDescent="0.25">
      <c r="A18" t="str">
        <f>B18&amp;VLOOKUP(D18, Lookups!$E$2:$F$8,2,FALSE)&amp;C18</f>
        <v>BreastTwo Week WaitUnknown</v>
      </c>
      <c r="B18" t="s">
        <v>16</v>
      </c>
      <c r="C18" t="s">
        <v>4</v>
      </c>
      <c r="D18" t="s">
        <v>31</v>
      </c>
      <c r="E18" s="1">
        <v>0.11980277185501066</v>
      </c>
      <c r="F18" s="1">
        <v>2.1855010660980809E-2</v>
      </c>
      <c r="G18" s="1">
        <v>1.7723880597014924E-2</v>
      </c>
      <c r="H18" s="1">
        <v>4.2643923240938165E-2</v>
      </c>
      <c r="I18" s="1">
        <v>0.11580490405117271</v>
      </c>
      <c r="J18" s="1">
        <v>1.42590618336887E-2</v>
      </c>
      <c r="K18" s="1">
        <v>0.43256929637526653</v>
      </c>
      <c r="L18" s="1">
        <v>0.23534115138592751</v>
      </c>
      <c r="M18" s="1">
        <v>1</v>
      </c>
      <c r="N18" s="2">
        <v>7504</v>
      </c>
      <c r="P18" s="1">
        <v>0.113</v>
      </c>
      <c r="Q18" s="1">
        <v>0.127</v>
      </c>
      <c r="R18" s="1">
        <v>1.9E-2</v>
      </c>
      <c r="S18" s="1">
        <v>2.5000000000000001E-2</v>
      </c>
      <c r="T18" s="1">
        <v>1.4999999999999999E-2</v>
      </c>
      <c r="U18" s="1">
        <v>2.1000000000000001E-2</v>
      </c>
      <c r="V18" s="1">
        <v>3.7999999999999999E-2</v>
      </c>
      <c r="W18" s="1">
        <v>4.7E-2</v>
      </c>
      <c r="X18" s="1">
        <v>0.109</v>
      </c>
      <c r="Y18" s="1">
        <v>0.123</v>
      </c>
      <c r="Z18" s="1">
        <v>1.2E-2</v>
      </c>
      <c r="AA18" s="1">
        <v>1.7000000000000001E-2</v>
      </c>
      <c r="AB18" s="1">
        <v>0.42099999999999999</v>
      </c>
      <c r="AC18" s="1">
        <v>0.44400000000000001</v>
      </c>
      <c r="AD18" s="1">
        <v>0.22600000000000001</v>
      </c>
      <c r="AE18" s="1">
        <v>0.245</v>
      </c>
    </row>
    <row r="19" spans="1:31" x14ac:dyDescent="0.25">
      <c r="A19" t="str">
        <f>B19&amp;VLOOKUP(D19, Lookups!$E$2:$F$8,2,FALSE)&amp;C19</f>
        <v>BreastGP referralUnknown</v>
      </c>
      <c r="B19" t="s">
        <v>16</v>
      </c>
      <c r="C19" t="s">
        <v>4</v>
      </c>
      <c r="D19" t="s">
        <v>2</v>
      </c>
      <c r="E19" s="1">
        <v>0.17496171516079634</v>
      </c>
      <c r="F19" s="1">
        <v>4.7856049004594184E-2</v>
      </c>
      <c r="G19" s="1">
        <v>6.6998468606431855E-2</v>
      </c>
      <c r="H19" s="1">
        <v>4.0964777947932622E-2</v>
      </c>
      <c r="I19" s="1">
        <v>8.8820826952526799E-2</v>
      </c>
      <c r="J19" s="1">
        <v>3.8667687595712097E-2</v>
      </c>
      <c r="K19" s="1">
        <v>0.44372128637059727</v>
      </c>
      <c r="L19" s="1">
        <v>9.8009188361408886E-2</v>
      </c>
      <c r="M19" s="1">
        <v>1</v>
      </c>
      <c r="N19" s="2">
        <v>2612</v>
      </c>
      <c r="P19" s="1">
        <v>0.161</v>
      </c>
      <c r="Q19" s="1">
        <v>0.19</v>
      </c>
      <c r="R19" s="1">
        <v>0.04</v>
      </c>
      <c r="S19" s="1">
        <v>5.7000000000000002E-2</v>
      </c>
      <c r="T19" s="1">
        <v>5.8000000000000003E-2</v>
      </c>
      <c r="U19" s="1">
        <v>7.6999999999999999E-2</v>
      </c>
      <c r="V19" s="1">
        <v>3.4000000000000002E-2</v>
      </c>
      <c r="W19" s="1">
        <v>4.9000000000000002E-2</v>
      </c>
      <c r="X19" s="1">
        <v>7.9000000000000001E-2</v>
      </c>
      <c r="Y19" s="1">
        <v>0.1</v>
      </c>
      <c r="Z19" s="1">
        <v>3.2000000000000001E-2</v>
      </c>
      <c r="AA19" s="1">
        <v>4.7E-2</v>
      </c>
      <c r="AB19" s="1">
        <v>0.42499999999999999</v>
      </c>
      <c r="AC19" s="1">
        <v>0.46300000000000002</v>
      </c>
      <c r="AD19" s="1">
        <v>8.6999999999999994E-2</v>
      </c>
      <c r="AE19" s="1">
        <v>0.11</v>
      </c>
    </row>
    <row r="20" spans="1:31" x14ac:dyDescent="0.25">
      <c r="A20" t="str">
        <f>B20&amp;VLOOKUP(D20, Lookups!$E$2:$F$8,2,FALSE)&amp;C20</f>
        <v>BreastIP &amp; OPUnknown</v>
      </c>
      <c r="B20" t="s">
        <v>16</v>
      </c>
      <c r="C20" t="s">
        <v>4</v>
      </c>
      <c r="D20" t="s">
        <v>32</v>
      </c>
      <c r="E20" s="1">
        <v>0.18037135278514588</v>
      </c>
      <c r="F20" s="1">
        <v>8.6206896551724144E-2</v>
      </c>
      <c r="G20" s="1">
        <v>4.5092838196286469E-2</v>
      </c>
      <c r="H20" s="1">
        <v>4.5092838196286469E-2</v>
      </c>
      <c r="I20" s="1">
        <v>0.10212201591511937</v>
      </c>
      <c r="J20" s="1">
        <v>4.7745358090185673E-2</v>
      </c>
      <c r="K20" s="1">
        <v>0.41114058355437666</v>
      </c>
      <c r="L20" s="1">
        <v>8.2228116710875335E-2</v>
      </c>
      <c r="M20" s="1">
        <v>1</v>
      </c>
      <c r="N20" s="2">
        <v>754</v>
      </c>
      <c r="P20" s="1">
        <v>0.155</v>
      </c>
      <c r="Q20" s="1">
        <v>0.20899999999999999</v>
      </c>
      <c r="R20" s="1">
        <v>6.8000000000000005E-2</v>
      </c>
      <c r="S20" s="1">
        <v>0.108</v>
      </c>
      <c r="T20" s="1">
        <v>3.2000000000000001E-2</v>
      </c>
      <c r="U20" s="1">
        <v>6.2E-2</v>
      </c>
      <c r="V20" s="1">
        <v>3.2000000000000001E-2</v>
      </c>
      <c r="W20" s="1">
        <v>6.2E-2</v>
      </c>
      <c r="X20" s="1">
        <v>8.2000000000000003E-2</v>
      </c>
      <c r="Y20" s="1">
        <v>0.126</v>
      </c>
      <c r="Z20" s="1">
        <v>3.5000000000000003E-2</v>
      </c>
      <c r="AA20" s="1">
        <v>6.5000000000000002E-2</v>
      </c>
      <c r="AB20" s="1">
        <v>0.377</v>
      </c>
      <c r="AC20" s="1">
        <v>0.44700000000000001</v>
      </c>
      <c r="AD20" s="1">
        <v>6.5000000000000002E-2</v>
      </c>
      <c r="AE20" s="1">
        <v>0.104</v>
      </c>
    </row>
    <row r="21" spans="1:31" x14ac:dyDescent="0.25">
      <c r="A21" t="str">
        <f>B21&amp;VLOOKUP(D21, Lookups!$E$2:$F$8,2,FALSE)&amp;C21</f>
        <v>BreastEmergency presentationUnknown</v>
      </c>
      <c r="B21" t="s">
        <v>16</v>
      </c>
      <c r="C21" t="s">
        <v>4</v>
      </c>
      <c r="D21" t="s">
        <v>33</v>
      </c>
      <c r="E21" s="1">
        <v>4.2746113989637305E-2</v>
      </c>
      <c r="F21" s="1">
        <v>2.0077720207253884E-2</v>
      </c>
      <c r="G21" s="1">
        <v>4.145077720207254E-2</v>
      </c>
      <c r="H21" s="1">
        <v>3.8860103626943004E-3</v>
      </c>
      <c r="I21" s="1">
        <v>1.3601036269430052E-2</v>
      </c>
      <c r="J21" s="1">
        <v>1.4896373056994818E-2</v>
      </c>
      <c r="K21" s="1">
        <v>0.84715025906735753</v>
      </c>
      <c r="L21" s="1">
        <v>1.6191709844559584E-2</v>
      </c>
      <c r="M21" s="1">
        <v>1</v>
      </c>
      <c r="N21" s="2">
        <v>1544</v>
      </c>
      <c r="P21" s="1">
        <v>3.4000000000000002E-2</v>
      </c>
      <c r="Q21" s="1">
        <v>5.3999999999999999E-2</v>
      </c>
      <c r="R21" s="1">
        <v>1.4E-2</v>
      </c>
      <c r="S21" s="1">
        <v>2.8000000000000001E-2</v>
      </c>
      <c r="T21" s="1">
        <v>3.3000000000000002E-2</v>
      </c>
      <c r="U21" s="1">
        <v>5.2999999999999999E-2</v>
      </c>
      <c r="V21" s="1">
        <v>2E-3</v>
      </c>
      <c r="W21" s="1">
        <v>8.0000000000000002E-3</v>
      </c>
      <c r="X21" s="1">
        <v>8.9999999999999993E-3</v>
      </c>
      <c r="Y21" s="1">
        <v>2.1000000000000001E-2</v>
      </c>
      <c r="Z21" s="1">
        <v>0.01</v>
      </c>
      <c r="AA21" s="1">
        <v>2.1999999999999999E-2</v>
      </c>
      <c r="AB21" s="1">
        <v>0.82799999999999996</v>
      </c>
      <c r="AC21" s="1">
        <v>0.86399999999999999</v>
      </c>
      <c r="AD21" s="1">
        <v>1.0999999999999999E-2</v>
      </c>
      <c r="AE21" s="1">
        <v>2.4E-2</v>
      </c>
    </row>
    <row r="22" spans="1:31" x14ac:dyDescent="0.25">
      <c r="A22" t="str">
        <f>B22&amp;VLOOKUP(D22, Lookups!$E$2:$F$8,2,FALSE)&amp;C22</f>
        <v>BreastUnknownUnknown</v>
      </c>
      <c r="B22" t="s">
        <v>16</v>
      </c>
      <c r="C22" t="s">
        <v>4</v>
      </c>
      <c r="D22" t="s">
        <v>4</v>
      </c>
      <c r="E22" s="1">
        <v>0.1901081916537867</v>
      </c>
      <c r="F22" s="1">
        <v>2.6275115919629059E-2</v>
      </c>
      <c r="G22" s="1">
        <v>7.6506955177743433E-2</v>
      </c>
      <c r="H22" s="1">
        <v>4.4049459041731069E-2</v>
      </c>
      <c r="I22" s="1">
        <v>8.3462132921174659E-2</v>
      </c>
      <c r="J22" s="1">
        <v>3.4775888717156103E-2</v>
      </c>
      <c r="K22" s="1">
        <v>0.48531684698608962</v>
      </c>
      <c r="L22" s="1">
        <v>5.9505409582689336E-2</v>
      </c>
      <c r="M22" s="1">
        <v>1</v>
      </c>
      <c r="N22" s="2">
        <v>1294</v>
      </c>
      <c r="P22" s="1">
        <v>0.17</v>
      </c>
      <c r="Q22" s="1">
        <v>0.21199999999999999</v>
      </c>
      <c r="R22" s="1">
        <v>1.9E-2</v>
      </c>
      <c r="S22" s="1">
        <v>3.5999999999999997E-2</v>
      </c>
      <c r="T22" s="1">
        <v>6.3E-2</v>
      </c>
      <c r="U22" s="1">
        <v>9.1999999999999998E-2</v>
      </c>
      <c r="V22" s="1">
        <v>3.4000000000000002E-2</v>
      </c>
      <c r="W22" s="1">
        <v>5.7000000000000002E-2</v>
      </c>
      <c r="X22" s="1">
        <v>7.0000000000000007E-2</v>
      </c>
      <c r="Y22" s="1">
        <v>0.1</v>
      </c>
      <c r="Z22" s="1">
        <v>2.5999999999999999E-2</v>
      </c>
      <c r="AA22" s="1">
        <v>4.5999999999999999E-2</v>
      </c>
      <c r="AB22" s="1">
        <v>0.45800000000000002</v>
      </c>
      <c r="AC22" s="1">
        <v>0.51300000000000001</v>
      </c>
      <c r="AD22" s="1">
        <v>4.8000000000000001E-2</v>
      </c>
      <c r="AE22" s="1">
        <v>7.3999999999999996E-2</v>
      </c>
    </row>
    <row r="23" spans="1:31" x14ac:dyDescent="0.25">
      <c r="A23" t="str">
        <f>B23&amp;VLOOKUP(D23, Lookups!$E$2:$F$8,2,FALSE)&amp;C23</f>
        <v>BreastAll RoutesUnknown</v>
      </c>
      <c r="B23" t="s">
        <v>16</v>
      </c>
      <c r="C23" t="s">
        <v>4</v>
      </c>
      <c r="D23" t="s">
        <v>34</v>
      </c>
      <c r="E23" s="1">
        <v>0.13627748294162245</v>
      </c>
      <c r="F23" s="1">
        <v>2.7862016679302503E-2</v>
      </c>
      <c r="G23" s="1">
        <v>3.626484710639373E-2</v>
      </c>
      <c r="H23" s="1">
        <v>3.8539297447561287E-2</v>
      </c>
      <c r="I23" s="1">
        <v>0.12496841041192823</v>
      </c>
      <c r="J23" s="1">
        <v>2.0912307303512762E-2</v>
      </c>
      <c r="K23" s="1">
        <v>0.44737174627242859</v>
      </c>
      <c r="L23" s="1">
        <v>0.16780389183725045</v>
      </c>
      <c r="M23" s="1">
        <v>1</v>
      </c>
      <c r="N23" s="2">
        <v>15828</v>
      </c>
      <c r="P23" s="1">
        <v>0.13100000000000001</v>
      </c>
      <c r="Q23" s="1">
        <v>0.14199999999999999</v>
      </c>
      <c r="R23" s="1">
        <v>2.5000000000000001E-2</v>
      </c>
      <c r="S23" s="1">
        <v>3.1E-2</v>
      </c>
      <c r="T23" s="1">
        <v>3.3000000000000002E-2</v>
      </c>
      <c r="U23" s="1">
        <v>3.9E-2</v>
      </c>
      <c r="V23" s="1">
        <v>3.5999999999999997E-2</v>
      </c>
      <c r="W23" s="1">
        <v>4.2000000000000003E-2</v>
      </c>
      <c r="X23" s="1">
        <v>0.12</v>
      </c>
      <c r="Y23" s="1">
        <v>0.13</v>
      </c>
      <c r="Z23" s="1">
        <v>1.9E-2</v>
      </c>
      <c r="AA23" s="1">
        <v>2.3E-2</v>
      </c>
      <c r="AB23" s="1">
        <v>0.44</v>
      </c>
      <c r="AC23" s="1">
        <v>0.45500000000000002</v>
      </c>
      <c r="AD23" s="1">
        <v>0.16200000000000001</v>
      </c>
      <c r="AE23" s="1">
        <v>0.17399999999999999</v>
      </c>
    </row>
    <row r="24" spans="1:31" x14ac:dyDescent="0.25">
      <c r="A24" t="str">
        <f>B24&amp;VLOOKUP(D24, Lookups!$E$2:$F$8,2,FALSE)&amp;C24</f>
        <v>ColonScreen detectedEarly</v>
      </c>
      <c r="B24" t="s">
        <v>17</v>
      </c>
      <c r="C24" t="s">
        <v>38</v>
      </c>
      <c r="D24" t="s">
        <v>30</v>
      </c>
      <c r="E24" s="1">
        <v>0.86071603727317314</v>
      </c>
      <c r="F24" s="1">
        <v>1.7165277096615988E-3</v>
      </c>
      <c r="G24" s="1">
        <v>9.8087297694948511E-4</v>
      </c>
      <c r="H24" s="1">
        <v>0.1186856302108877</v>
      </c>
      <c r="I24" s="1">
        <v>2.6974006866110839E-3</v>
      </c>
      <c r="J24" s="1">
        <v>1.4713094654242277E-3</v>
      </c>
      <c r="K24" s="1">
        <v>1.1525257479156449E-2</v>
      </c>
      <c r="L24" s="1">
        <v>2.2069641981363412E-3</v>
      </c>
      <c r="M24" s="1">
        <v>1</v>
      </c>
      <c r="N24" s="2">
        <v>4078</v>
      </c>
      <c r="P24" s="1">
        <v>0.85</v>
      </c>
      <c r="Q24" s="1">
        <v>0.871</v>
      </c>
      <c r="R24" s="1">
        <v>1E-3</v>
      </c>
      <c r="S24" s="1">
        <v>4.0000000000000001E-3</v>
      </c>
      <c r="T24" s="1">
        <v>0</v>
      </c>
      <c r="U24" s="1">
        <v>3.0000000000000001E-3</v>
      </c>
      <c r="V24" s="1">
        <v>0.109</v>
      </c>
      <c r="W24" s="1">
        <v>0.129</v>
      </c>
      <c r="X24" s="1">
        <v>2E-3</v>
      </c>
      <c r="Y24" s="1">
        <v>5.0000000000000001E-3</v>
      </c>
      <c r="Z24" s="1">
        <v>1E-3</v>
      </c>
      <c r="AA24" s="1">
        <v>3.0000000000000001E-3</v>
      </c>
      <c r="AB24" s="1">
        <v>8.9999999999999993E-3</v>
      </c>
      <c r="AC24" s="1">
        <v>1.4999999999999999E-2</v>
      </c>
      <c r="AD24" s="1">
        <v>1E-3</v>
      </c>
      <c r="AE24" s="1">
        <v>4.0000000000000001E-3</v>
      </c>
    </row>
    <row r="25" spans="1:31" x14ac:dyDescent="0.25">
      <c r="A25" t="str">
        <f>B25&amp;VLOOKUP(D25, Lookups!$E$2:$F$8,2,FALSE)&amp;C25</f>
        <v>ColonTwo Week WaitEarly</v>
      </c>
      <c r="B25" t="s">
        <v>17</v>
      </c>
      <c r="C25" t="s">
        <v>38</v>
      </c>
      <c r="D25" t="s">
        <v>31</v>
      </c>
      <c r="E25" s="1">
        <v>0.80417814508723595</v>
      </c>
      <c r="F25" s="1">
        <v>6.313131313131313E-3</v>
      </c>
      <c r="G25" s="1">
        <v>3.0991735537190084E-3</v>
      </c>
      <c r="H25" s="1">
        <v>0.12545913682277318</v>
      </c>
      <c r="I25" s="1">
        <v>6.8870523415977963E-3</v>
      </c>
      <c r="J25" s="1">
        <v>2.6400367309458218E-3</v>
      </c>
      <c r="K25" s="1">
        <v>4.4765840220385676E-2</v>
      </c>
      <c r="L25" s="1">
        <v>6.6574839302112028E-3</v>
      </c>
      <c r="M25" s="1">
        <v>0.99999999999999989</v>
      </c>
      <c r="N25" s="2">
        <v>8712</v>
      </c>
      <c r="P25" s="1">
        <v>0.79600000000000004</v>
      </c>
      <c r="Q25" s="1">
        <v>0.81200000000000006</v>
      </c>
      <c r="R25" s="1">
        <v>5.0000000000000001E-3</v>
      </c>
      <c r="S25" s="1">
        <v>8.0000000000000002E-3</v>
      </c>
      <c r="T25" s="1">
        <v>2E-3</v>
      </c>
      <c r="U25" s="1">
        <v>5.0000000000000001E-3</v>
      </c>
      <c r="V25" s="1">
        <v>0.11899999999999999</v>
      </c>
      <c r="W25" s="1">
        <v>0.13300000000000001</v>
      </c>
      <c r="X25" s="1">
        <v>5.0000000000000001E-3</v>
      </c>
      <c r="Y25" s="1">
        <v>8.9999999999999993E-3</v>
      </c>
      <c r="Z25" s="1">
        <v>2E-3</v>
      </c>
      <c r="AA25" s="1">
        <v>4.0000000000000001E-3</v>
      </c>
      <c r="AB25" s="1">
        <v>4.1000000000000002E-2</v>
      </c>
      <c r="AC25" s="1">
        <v>4.9000000000000002E-2</v>
      </c>
      <c r="AD25" s="1">
        <v>5.0000000000000001E-3</v>
      </c>
      <c r="AE25" s="1">
        <v>8.9999999999999993E-3</v>
      </c>
    </row>
    <row r="26" spans="1:31" x14ac:dyDescent="0.25">
      <c r="A26" t="str">
        <f>B26&amp;VLOOKUP(D26, Lookups!$E$2:$F$8,2,FALSE)&amp;C26</f>
        <v>ColonGP referralEarly</v>
      </c>
      <c r="B26" t="s">
        <v>17</v>
      </c>
      <c r="C26" t="s">
        <v>38</v>
      </c>
      <c r="D26" t="s">
        <v>2</v>
      </c>
      <c r="E26" s="1">
        <v>0.80312907431551495</v>
      </c>
      <c r="F26" s="1">
        <v>5.3599884108358684E-3</v>
      </c>
      <c r="G26" s="1">
        <v>4.3459365493263794E-3</v>
      </c>
      <c r="H26" s="1">
        <v>9.9521946979574102E-2</v>
      </c>
      <c r="I26" s="1">
        <v>7.8226857887874843E-3</v>
      </c>
      <c r="J26" s="1">
        <v>3.3318846878168914E-3</v>
      </c>
      <c r="K26" s="1">
        <v>7.1852817615529474E-2</v>
      </c>
      <c r="L26" s="1">
        <v>4.6356656526148048E-3</v>
      </c>
      <c r="M26" s="1">
        <v>0.99999999999999978</v>
      </c>
      <c r="N26" s="2">
        <v>6903</v>
      </c>
      <c r="P26" s="1">
        <v>0.79400000000000004</v>
      </c>
      <c r="Q26" s="1">
        <v>0.81200000000000006</v>
      </c>
      <c r="R26" s="1">
        <v>4.0000000000000001E-3</v>
      </c>
      <c r="S26" s="1">
        <v>7.0000000000000001E-3</v>
      </c>
      <c r="T26" s="1">
        <v>3.0000000000000001E-3</v>
      </c>
      <c r="U26" s="1">
        <v>6.0000000000000001E-3</v>
      </c>
      <c r="V26" s="1">
        <v>9.2999999999999999E-2</v>
      </c>
      <c r="W26" s="1">
        <v>0.107</v>
      </c>
      <c r="X26" s="1">
        <v>6.0000000000000001E-3</v>
      </c>
      <c r="Y26" s="1">
        <v>0.01</v>
      </c>
      <c r="Z26" s="1">
        <v>2E-3</v>
      </c>
      <c r="AA26" s="1">
        <v>5.0000000000000001E-3</v>
      </c>
      <c r="AB26" s="1">
        <v>6.6000000000000003E-2</v>
      </c>
      <c r="AC26" s="1">
        <v>7.8E-2</v>
      </c>
      <c r="AD26" s="1">
        <v>3.0000000000000001E-3</v>
      </c>
      <c r="AE26" s="1">
        <v>7.0000000000000001E-3</v>
      </c>
    </row>
    <row r="27" spans="1:31" x14ac:dyDescent="0.25">
      <c r="A27" t="str">
        <f>B27&amp;VLOOKUP(D27, Lookups!$E$2:$F$8,2,FALSE)&amp;C27</f>
        <v>ColonIP &amp; OPEarly</v>
      </c>
      <c r="B27" t="s">
        <v>17</v>
      </c>
      <c r="C27" t="s">
        <v>38</v>
      </c>
      <c r="D27" t="s">
        <v>32</v>
      </c>
      <c r="E27" s="1">
        <v>0.80299401197604792</v>
      </c>
      <c r="F27" s="1">
        <v>6.5868263473053889E-3</v>
      </c>
      <c r="G27" s="1">
        <v>2.0958083832335328E-3</v>
      </c>
      <c r="H27" s="1">
        <v>0.11796407185628742</v>
      </c>
      <c r="I27" s="1">
        <v>4.1916167664670656E-3</v>
      </c>
      <c r="J27" s="1">
        <v>5.9880239520958083E-4</v>
      </c>
      <c r="K27" s="1">
        <v>6.1976047904191617E-2</v>
      </c>
      <c r="L27" s="1">
        <v>3.592814371257485E-3</v>
      </c>
      <c r="M27" s="1">
        <v>1</v>
      </c>
      <c r="N27" s="2">
        <v>3340</v>
      </c>
      <c r="P27" s="1">
        <v>0.78900000000000003</v>
      </c>
      <c r="Q27" s="1">
        <v>0.81599999999999995</v>
      </c>
      <c r="R27" s="1">
        <v>4.0000000000000001E-3</v>
      </c>
      <c r="S27" s="1">
        <v>0.01</v>
      </c>
      <c r="T27" s="1">
        <v>1E-3</v>
      </c>
      <c r="U27" s="1">
        <v>4.0000000000000001E-3</v>
      </c>
      <c r="V27" s="1">
        <v>0.107</v>
      </c>
      <c r="W27" s="1">
        <v>0.129</v>
      </c>
      <c r="X27" s="1">
        <v>2E-3</v>
      </c>
      <c r="Y27" s="1">
        <v>7.0000000000000001E-3</v>
      </c>
      <c r="Z27" s="1">
        <v>0</v>
      </c>
      <c r="AA27" s="1">
        <v>2E-3</v>
      </c>
      <c r="AB27" s="1">
        <v>5.3999999999999999E-2</v>
      </c>
      <c r="AC27" s="1">
        <v>7.0999999999999994E-2</v>
      </c>
      <c r="AD27" s="1">
        <v>2E-3</v>
      </c>
      <c r="AE27" s="1">
        <v>6.0000000000000001E-3</v>
      </c>
    </row>
    <row r="28" spans="1:31" x14ac:dyDescent="0.25">
      <c r="A28" t="str">
        <f>B28&amp;VLOOKUP(D28, Lookups!$E$2:$F$8,2,FALSE)&amp;C28</f>
        <v>ColonEmergency presentationEarly</v>
      </c>
      <c r="B28" t="s">
        <v>17</v>
      </c>
      <c r="C28" t="s">
        <v>38</v>
      </c>
      <c r="D28" t="s">
        <v>33</v>
      </c>
      <c r="E28" s="1">
        <v>0.62678114724150524</v>
      </c>
      <c r="F28" s="1">
        <v>8.2206795761782976E-3</v>
      </c>
      <c r="G28" s="1">
        <v>3.6536353671903542E-3</v>
      </c>
      <c r="H28" s="1">
        <v>0.15692363902082573</v>
      </c>
      <c r="I28" s="1">
        <v>5.6631348191450498E-3</v>
      </c>
      <c r="J28" s="1">
        <v>2.9229082937522835E-3</v>
      </c>
      <c r="K28" s="1">
        <v>0.18980635732553891</v>
      </c>
      <c r="L28" s="1">
        <v>6.0284983558640849E-3</v>
      </c>
      <c r="M28" s="1">
        <v>1</v>
      </c>
      <c r="N28" s="2">
        <v>5474</v>
      </c>
      <c r="P28" s="1">
        <v>0.61399999999999999</v>
      </c>
      <c r="Q28" s="1">
        <v>0.64</v>
      </c>
      <c r="R28" s="1">
        <v>6.0000000000000001E-3</v>
      </c>
      <c r="S28" s="1">
        <v>1.0999999999999999E-2</v>
      </c>
      <c r="T28" s="1">
        <v>2E-3</v>
      </c>
      <c r="U28" s="1">
        <v>6.0000000000000001E-3</v>
      </c>
      <c r="V28" s="1">
        <v>0.14799999999999999</v>
      </c>
      <c r="W28" s="1">
        <v>0.16700000000000001</v>
      </c>
      <c r="X28" s="1">
        <v>4.0000000000000001E-3</v>
      </c>
      <c r="Y28" s="1">
        <v>8.0000000000000002E-3</v>
      </c>
      <c r="Z28" s="1">
        <v>2E-3</v>
      </c>
      <c r="AA28" s="1">
        <v>5.0000000000000001E-3</v>
      </c>
      <c r="AB28" s="1">
        <v>0.18</v>
      </c>
      <c r="AC28" s="1">
        <v>0.2</v>
      </c>
      <c r="AD28" s="1">
        <v>4.0000000000000001E-3</v>
      </c>
      <c r="AE28" s="1">
        <v>8.0000000000000002E-3</v>
      </c>
    </row>
    <row r="29" spans="1:31" x14ac:dyDescent="0.25">
      <c r="A29" t="str">
        <f>B29&amp;VLOOKUP(D29, Lookups!$E$2:$F$8,2,FALSE)&amp;C29</f>
        <v>ColonUnknownEarly</v>
      </c>
      <c r="B29" t="s">
        <v>17</v>
      </c>
      <c r="C29" t="s">
        <v>38</v>
      </c>
      <c r="D29" t="s">
        <v>4</v>
      </c>
      <c r="E29" s="1">
        <v>0.66133333333333333</v>
      </c>
      <c r="F29" s="1">
        <v>2.1333333333333333E-2</v>
      </c>
      <c r="G29" s="1">
        <v>5.3333333333333332E-3</v>
      </c>
      <c r="H29" s="1">
        <v>0.12266666666666666</v>
      </c>
      <c r="I29" s="1">
        <v>2.6666666666666666E-3</v>
      </c>
      <c r="J29" s="1">
        <v>8.0000000000000002E-3</v>
      </c>
      <c r="K29" s="1">
        <v>0.17599999999999999</v>
      </c>
      <c r="L29" s="1">
        <v>2.6666666666666666E-3</v>
      </c>
      <c r="M29" s="1">
        <v>1</v>
      </c>
      <c r="N29" s="2">
        <v>375</v>
      </c>
      <c r="P29" s="1">
        <v>0.61199999999999999</v>
      </c>
      <c r="Q29" s="1">
        <v>0.70699999999999996</v>
      </c>
      <c r="R29" s="1">
        <v>1.0999999999999999E-2</v>
      </c>
      <c r="S29" s="1">
        <v>4.2000000000000003E-2</v>
      </c>
      <c r="T29" s="1">
        <v>1E-3</v>
      </c>
      <c r="U29" s="1">
        <v>1.9E-2</v>
      </c>
      <c r="V29" s="1">
        <v>9.2999999999999999E-2</v>
      </c>
      <c r="W29" s="1">
        <v>0.16</v>
      </c>
      <c r="X29" s="1">
        <v>0</v>
      </c>
      <c r="Y29" s="1">
        <v>1.4999999999999999E-2</v>
      </c>
      <c r="Z29" s="1">
        <v>3.0000000000000001E-3</v>
      </c>
      <c r="AA29" s="1">
        <v>2.3E-2</v>
      </c>
      <c r="AB29" s="1">
        <v>0.14099999999999999</v>
      </c>
      <c r="AC29" s="1">
        <v>0.218</v>
      </c>
      <c r="AD29" s="1">
        <v>0</v>
      </c>
      <c r="AE29" s="1">
        <v>1.4999999999999999E-2</v>
      </c>
    </row>
    <row r="30" spans="1:31" x14ac:dyDescent="0.25">
      <c r="A30" t="str">
        <f>B30&amp;VLOOKUP(D30, Lookups!$E$2:$F$8,2,FALSE)&amp;C30</f>
        <v>ColonAll RoutesEarly</v>
      </c>
      <c r="B30" t="s">
        <v>17</v>
      </c>
      <c r="C30" t="s">
        <v>38</v>
      </c>
      <c r="D30" t="s">
        <v>34</v>
      </c>
      <c r="E30" s="1">
        <v>0.77629665535627723</v>
      </c>
      <c r="F30" s="1">
        <v>6.0245135378436399E-3</v>
      </c>
      <c r="G30" s="1">
        <v>3.1161276919880894E-3</v>
      </c>
      <c r="H30" s="1">
        <v>0.12336403296170625</v>
      </c>
      <c r="I30" s="1">
        <v>5.9206426147773699E-3</v>
      </c>
      <c r="J30" s="1">
        <v>2.5275257946125616E-3</v>
      </c>
      <c r="K30" s="1">
        <v>7.7730074094591789E-2</v>
      </c>
      <c r="L30" s="1">
        <v>5.0204279482030326E-3</v>
      </c>
      <c r="M30" s="1">
        <v>0.99999999999999989</v>
      </c>
      <c r="N30" s="2">
        <v>28882</v>
      </c>
      <c r="P30" s="1">
        <v>0.77100000000000002</v>
      </c>
      <c r="Q30" s="1">
        <v>0.78100000000000003</v>
      </c>
      <c r="R30" s="1">
        <v>5.0000000000000001E-3</v>
      </c>
      <c r="S30" s="1">
        <v>7.0000000000000001E-3</v>
      </c>
      <c r="T30" s="1">
        <v>3.0000000000000001E-3</v>
      </c>
      <c r="U30" s="1">
        <v>4.0000000000000001E-3</v>
      </c>
      <c r="V30" s="1">
        <v>0.12</v>
      </c>
      <c r="W30" s="1">
        <v>0.127</v>
      </c>
      <c r="X30" s="1">
        <v>5.0000000000000001E-3</v>
      </c>
      <c r="Y30" s="1">
        <v>7.0000000000000001E-3</v>
      </c>
      <c r="Z30" s="1">
        <v>2E-3</v>
      </c>
      <c r="AA30" s="1">
        <v>3.0000000000000001E-3</v>
      </c>
      <c r="AB30" s="1">
        <v>7.4999999999999997E-2</v>
      </c>
      <c r="AC30" s="1">
        <v>8.1000000000000003E-2</v>
      </c>
      <c r="AD30" s="1">
        <v>4.0000000000000001E-3</v>
      </c>
      <c r="AE30" s="1">
        <v>6.0000000000000001E-3</v>
      </c>
    </row>
    <row r="31" spans="1:31" x14ac:dyDescent="0.25">
      <c r="A31" t="str">
        <f>B31&amp;VLOOKUP(D31, Lookups!$E$2:$F$8,2,FALSE)&amp;C31</f>
        <v>ColonScreen detectedLate</v>
      </c>
      <c r="B31" t="s">
        <v>17</v>
      </c>
      <c r="C31" t="s">
        <v>39</v>
      </c>
      <c r="D31" t="s">
        <v>30</v>
      </c>
      <c r="E31" s="1">
        <v>0.14692144373673036</v>
      </c>
      <c r="F31" s="1">
        <v>9.2144373673036087E-2</v>
      </c>
      <c r="G31" s="1">
        <v>3.821656050955414E-3</v>
      </c>
      <c r="H31" s="1">
        <v>0.69044585987261142</v>
      </c>
      <c r="I31" s="1">
        <v>3.397027600849257E-3</v>
      </c>
      <c r="J31" s="1">
        <v>1.5711252653927813E-2</v>
      </c>
      <c r="K31" s="1">
        <v>3.0573248407643312E-2</v>
      </c>
      <c r="L31" s="1">
        <v>1.6985138004246284E-2</v>
      </c>
      <c r="M31" s="1">
        <v>1</v>
      </c>
      <c r="N31" s="2">
        <v>2355</v>
      </c>
      <c r="P31" s="1">
        <v>0.13300000000000001</v>
      </c>
      <c r="Q31" s="1">
        <v>0.16200000000000001</v>
      </c>
      <c r="R31" s="1">
        <v>8.1000000000000003E-2</v>
      </c>
      <c r="S31" s="1">
        <v>0.104</v>
      </c>
      <c r="T31" s="1">
        <v>2E-3</v>
      </c>
      <c r="U31" s="1">
        <v>7.0000000000000001E-3</v>
      </c>
      <c r="V31" s="1">
        <v>0.67100000000000004</v>
      </c>
      <c r="W31" s="1">
        <v>0.70899999999999996</v>
      </c>
      <c r="X31" s="1">
        <v>2E-3</v>
      </c>
      <c r="Y31" s="1">
        <v>7.0000000000000001E-3</v>
      </c>
      <c r="Z31" s="1">
        <v>1.0999999999999999E-2</v>
      </c>
      <c r="AA31" s="1">
        <v>2.1999999999999999E-2</v>
      </c>
      <c r="AB31" s="1">
        <v>2.4E-2</v>
      </c>
      <c r="AC31" s="1">
        <v>3.7999999999999999E-2</v>
      </c>
      <c r="AD31" s="1">
        <v>1.2E-2</v>
      </c>
      <c r="AE31" s="1">
        <v>2.3E-2</v>
      </c>
    </row>
    <row r="32" spans="1:31" x14ac:dyDescent="0.25">
      <c r="A32" t="str">
        <f>B32&amp;VLOOKUP(D32, Lookups!$E$2:$F$8,2,FALSE)&amp;C32</f>
        <v>ColonTwo Week WaitLate</v>
      </c>
      <c r="B32" t="s">
        <v>17</v>
      </c>
      <c r="C32" t="s">
        <v>39</v>
      </c>
      <c r="D32" t="s">
        <v>31</v>
      </c>
      <c r="E32" s="1">
        <v>0.19304415787416959</v>
      </c>
      <c r="F32" s="1">
        <v>0.18542399374755764</v>
      </c>
      <c r="G32" s="1">
        <v>1.0941774130519734E-2</v>
      </c>
      <c r="H32" s="1">
        <v>0.3788589292692458</v>
      </c>
      <c r="I32" s="1">
        <v>4.9824150058616649E-3</v>
      </c>
      <c r="J32" s="1">
        <v>2.7647518561938256E-2</v>
      </c>
      <c r="K32" s="1">
        <v>0.18005080109417743</v>
      </c>
      <c r="L32" s="1">
        <v>1.9050410316529893E-2</v>
      </c>
      <c r="M32" s="1">
        <v>1</v>
      </c>
      <c r="N32" s="2">
        <v>10236</v>
      </c>
      <c r="P32" s="1">
        <v>0.186</v>
      </c>
      <c r="Q32" s="1">
        <v>0.20100000000000001</v>
      </c>
      <c r="R32" s="1">
        <v>0.17799999999999999</v>
      </c>
      <c r="S32" s="1">
        <v>0.193</v>
      </c>
      <c r="T32" s="1">
        <v>8.9999999999999993E-3</v>
      </c>
      <c r="U32" s="1">
        <v>1.2999999999999999E-2</v>
      </c>
      <c r="V32" s="1">
        <v>0.37</v>
      </c>
      <c r="W32" s="1">
        <v>0.38800000000000001</v>
      </c>
      <c r="X32" s="1">
        <v>4.0000000000000001E-3</v>
      </c>
      <c r="Y32" s="1">
        <v>7.0000000000000001E-3</v>
      </c>
      <c r="Z32" s="1">
        <v>2.5000000000000001E-2</v>
      </c>
      <c r="AA32" s="1">
        <v>3.1E-2</v>
      </c>
      <c r="AB32" s="1">
        <v>0.17299999999999999</v>
      </c>
      <c r="AC32" s="1">
        <v>0.188</v>
      </c>
      <c r="AD32" s="1">
        <v>1.7000000000000001E-2</v>
      </c>
      <c r="AE32" s="1">
        <v>2.1999999999999999E-2</v>
      </c>
    </row>
    <row r="33" spans="1:31" x14ac:dyDescent="0.25">
      <c r="A33" t="str">
        <f>B33&amp;VLOOKUP(D33, Lookups!$E$2:$F$8,2,FALSE)&amp;C33</f>
        <v>ColonGP referralLate</v>
      </c>
      <c r="B33" t="s">
        <v>17</v>
      </c>
      <c r="C33" t="s">
        <v>39</v>
      </c>
      <c r="D33" t="s">
        <v>2</v>
      </c>
      <c r="E33" s="1">
        <v>0.20039973351099266</v>
      </c>
      <c r="F33" s="1">
        <v>0.15056628914057296</v>
      </c>
      <c r="G33" s="1">
        <v>1.3857428381079281E-2</v>
      </c>
      <c r="H33" s="1">
        <v>0.3392405063291139</v>
      </c>
      <c r="I33" s="1">
        <v>5.1965356429047298E-3</v>
      </c>
      <c r="J33" s="1">
        <v>2.491672218520986E-2</v>
      </c>
      <c r="K33" s="1">
        <v>0.25036642238507661</v>
      </c>
      <c r="L33" s="1">
        <v>1.5456362425049967E-2</v>
      </c>
      <c r="M33" s="1">
        <v>1</v>
      </c>
      <c r="N33" s="2">
        <v>7505</v>
      </c>
      <c r="P33" s="1">
        <v>0.191</v>
      </c>
      <c r="Q33" s="1">
        <v>0.21</v>
      </c>
      <c r="R33" s="1">
        <v>0.14299999999999999</v>
      </c>
      <c r="S33" s="1">
        <v>0.159</v>
      </c>
      <c r="T33" s="1">
        <v>1.0999999999999999E-2</v>
      </c>
      <c r="U33" s="1">
        <v>1.7000000000000001E-2</v>
      </c>
      <c r="V33" s="1">
        <v>0.32900000000000001</v>
      </c>
      <c r="W33" s="1">
        <v>0.35</v>
      </c>
      <c r="X33" s="1">
        <v>4.0000000000000001E-3</v>
      </c>
      <c r="Y33" s="1">
        <v>7.0000000000000001E-3</v>
      </c>
      <c r="Z33" s="1">
        <v>2.1999999999999999E-2</v>
      </c>
      <c r="AA33" s="1">
        <v>2.9000000000000001E-2</v>
      </c>
      <c r="AB33" s="1">
        <v>0.24099999999999999</v>
      </c>
      <c r="AC33" s="1">
        <v>0.26</v>
      </c>
      <c r="AD33" s="1">
        <v>1.2999999999999999E-2</v>
      </c>
      <c r="AE33" s="1">
        <v>1.9E-2</v>
      </c>
    </row>
    <row r="34" spans="1:31" x14ac:dyDescent="0.25">
      <c r="A34" t="str">
        <f>B34&amp;VLOOKUP(D34, Lookups!$E$2:$F$8,2,FALSE)&amp;C34</f>
        <v>ColonIP &amp; OPLate</v>
      </c>
      <c r="B34" t="s">
        <v>17</v>
      </c>
      <c r="C34" t="s">
        <v>39</v>
      </c>
      <c r="D34" t="s">
        <v>32</v>
      </c>
      <c r="E34" s="1">
        <v>0.21475507765830346</v>
      </c>
      <c r="F34" s="1">
        <v>0.16577060931899643</v>
      </c>
      <c r="G34" s="1">
        <v>1.1051373954599762E-2</v>
      </c>
      <c r="H34" s="1">
        <v>0.3515531660692951</v>
      </c>
      <c r="I34" s="1">
        <v>5.3763440860215058E-3</v>
      </c>
      <c r="J34" s="1">
        <v>2.3894862604540025E-2</v>
      </c>
      <c r="K34" s="1">
        <v>0.2126642771804062</v>
      </c>
      <c r="L34" s="1">
        <v>1.4934289127837515E-2</v>
      </c>
      <c r="M34" s="1">
        <v>1</v>
      </c>
      <c r="N34" s="2">
        <v>3348</v>
      </c>
      <c r="P34" s="1">
        <v>0.20100000000000001</v>
      </c>
      <c r="Q34" s="1">
        <v>0.22900000000000001</v>
      </c>
      <c r="R34" s="1">
        <v>0.154</v>
      </c>
      <c r="S34" s="1">
        <v>0.17899999999999999</v>
      </c>
      <c r="T34" s="1">
        <v>8.0000000000000002E-3</v>
      </c>
      <c r="U34" s="1">
        <v>1.4999999999999999E-2</v>
      </c>
      <c r="V34" s="1">
        <v>0.33600000000000002</v>
      </c>
      <c r="W34" s="1">
        <v>0.36799999999999999</v>
      </c>
      <c r="X34" s="1">
        <v>3.0000000000000001E-3</v>
      </c>
      <c r="Y34" s="1">
        <v>8.0000000000000002E-3</v>
      </c>
      <c r="Z34" s="1">
        <v>1.9E-2</v>
      </c>
      <c r="AA34" s="1">
        <v>0.03</v>
      </c>
      <c r="AB34" s="1">
        <v>0.19900000000000001</v>
      </c>
      <c r="AC34" s="1">
        <v>0.22700000000000001</v>
      </c>
      <c r="AD34" s="1">
        <v>1.0999999999999999E-2</v>
      </c>
      <c r="AE34" s="1">
        <v>0.02</v>
      </c>
    </row>
    <row r="35" spans="1:31" x14ac:dyDescent="0.25">
      <c r="A35" t="str">
        <f>B35&amp;VLOOKUP(D35, Lookups!$E$2:$F$8,2,FALSE)&amp;C35</f>
        <v>ColonEmergency presentationLate</v>
      </c>
      <c r="B35" t="s">
        <v>17</v>
      </c>
      <c r="C35" t="s">
        <v>39</v>
      </c>
      <c r="D35" t="s">
        <v>33</v>
      </c>
      <c r="E35" s="1">
        <v>0.22630156100113369</v>
      </c>
      <c r="F35" s="1">
        <v>7.9794192029301478E-2</v>
      </c>
      <c r="G35" s="1">
        <v>1.0813639138397139E-2</v>
      </c>
      <c r="H35" s="1">
        <v>0.27461411005494024</v>
      </c>
      <c r="I35" s="1">
        <v>3.6626842242958053E-3</v>
      </c>
      <c r="J35" s="1">
        <v>1.0552018836661724E-2</v>
      </c>
      <c r="K35" s="1">
        <v>0.3844074300165693</v>
      </c>
      <c r="L35" s="1">
        <v>9.8543646987006191E-3</v>
      </c>
      <c r="M35" s="1">
        <v>1</v>
      </c>
      <c r="N35" s="2">
        <v>11467</v>
      </c>
      <c r="P35" s="1">
        <v>0.219</v>
      </c>
      <c r="Q35" s="1">
        <v>0.23400000000000001</v>
      </c>
      <c r="R35" s="1">
        <v>7.4999999999999997E-2</v>
      </c>
      <c r="S35" s="1">
        <v>8.5000000000000006E-2</v>
      </c>
      <c r="T35" s="1">
        <v>8.9999999999999993E-3</v>
      </c>
      <c r="U35" s="1">
        <v>1.2999999999999999E-2</v>
      </c>
      <c r="V35" s="1">
        <v>0.26700000000000002</v>
      </c>
      <c r="W35" s="1">
        <v>0.28299999999999997</v>
      </c>
      <c r="X35" s="1">
        <v>3.0000000000000001E-3</v>
      </c>
      <c r="Y35" s="1">
        <v>5.0000000000000001E-3</v>
      </c>
      <c r="Z35" s="1">
        <v>8.9999999999999993E-3</v>
      </c>
      <c r="AA35" s="1">
        <v>1.2999999999999999E-2</v>
      </c>
      <c r="AB35" s="1">
        <v>0.376</v>
      </c>
      <c r="AC35" s="1">
        <v>0.39300000000000002</v>
      </c>
      <c r="AD35" s="1">
        <v>8.0000000000000002E-3</v>
      </c>
      <c r="AE35" s="1">
        <v>1.2E-2</v>
      </c>
    </row>
    <row r="36" spans="1:31" x14ac:dyDescent="0.25">
      <c r="A36" t="str">
        <f>B36&amp;VLOOKUP(D36, Lookups!$E$2:$F$8,2,FALSE)&amp;C36</f>
        <v>ColonUnknownLate</v>
      </c>
      <c r="B36" t="s">
        <v>17</v>
      </c>
      <c r="C36" t="s">
        <v>39</v>
      </c>
      <c r="D36" t="s">
        <v>4</v>
      </c>
      <c r="E36" s="1">
        <v>0.21565731166912852</v>
      </c>
      <c r="F36" s="1">
        <v>0.15066469719350073</v>
      </c>
      <c r="G36" s="1">
        <v>1.03397341211226E-2</v>
      </c>
      <c r="H36" s="1">
        <v>0.18906942392909898</v>
      </c>
      <c r="I36" s="1">
        <v>4.4313146233382573E-3</v>
      </c>
      <c r="J36" s="1">
        <v>2.5110782865583457E-2</v>
      </c>
      <c r="K36" s="1">
        <v>0.39438700147710487</v>
      </c>
      <c r="L36" s="1">
        <v>1.03397341211226E-2</v>
      </c>
      <c r="M36" s="1">
        <v>0.99999999999999989</v>
      </c>
      <c r="N36" s="2">
        <v>677</v>
      </c>
      <c r="P36" s="1">
        <v>0.186</v>
      </c>
      <c r="Q36" s="1">
        <v>0.248</v>
      </c>
      <c r="R36" s="1">
        <v>0.126</v>
      </c>
      <c r="S36" s="1">
        <v>0.18</v>
      </c>
      <c r="T36" s="1">
        <v>5.0000000000000001E-3</v>
      </c>
      <c r="U36" s="1">
        <v>2.1000000000000001E-2</v>
      </c>
      <c r="V36" s="1">
        <v>0.161</v>
      </c>
      <c r="W36" s="1">
        <v>0.22</v>
      </c>
      <c r="X36" s="1">
        <v>2E-3</v>
      </c>
      <c r="Y36" s="1">
        <v>1.2999999999999999E-2</v>
      </c>
      <c r="Z36" s="1">
        <v>1.6E-2</v>
      </c>
      <c r="AA36" s="1">
        <v>0.04</v>
      </c>
      <c r="AB36" s="1">
        <v>0.35799999999999998</v>
      </c>
      <c r="AC36" s="1">
        <v>0.432</v>
      </c>
      <c r="AD36" s="1">
        <v>5.0000000000000001E-3</v>
      </c>
      <c r="AE36" s="1">
        <v>2.1000000000000001E-2</v>
      </c>
    </row>
    <row r="37" spans="1:31" x14ac:dyDescent="0.25">
      <c r="A37" t="str">
        <f>B37&amp;VLOOKUP(D37, Lookups!$E$2:$F$8,2,FALSE)&amp;C37</f>
        <v>ColonAll RoutesLate</v>
      </c>
      <c r="B37" t="s">
        <v>17</v>
      </c>
      <c r="C37" t="s">
        <v>39</v>
      </c>
      <c r="D37" t="s">
        <v>34</v>
      </c>
      <c r="E37" s="1">
        <v>0.20473193211194785</v>
      </c>
      <c r="F37" s="1">
        <v>0.13535461391480275</v>
      </c>
      <c r="G37" s="1">
        <v>1.1043048218500618E-2</v>
      </c>
      <c r="H37" s="1">
        <v>0.35135438911992806</v>
      </c>
      <c r="I37" s="1">
        <v>4.5239968528717547E-3</v>
      </c>
      <c r="J37" s="1">
        <v>2.03720355175902E-2</v>
      </c>
      <c r="K37" s="1">
        <v>0.25798021805102844</v>
      </c>
      <c r="L37" s="1">
        <v>1.4639766213330336E-2</v>
      </c>
      <c r="M37" s="1">
        <v>0.99999999999999989</v>
      </c>
      <c r="N37" s="2">
        <v>35588</v>
      </c>
      <c r="P37" s="1">
        <v>0.20100000000000001</v>
      </c>
      <c r="Q37" s="1">
        <v>0.20899999999999999</v>
      </c>
      <c r="R37" s="1">
        <v>0.13200000000000001</v>
      </c>
      <c r="S37" s="1">
        <v>0.13900000000000001</v>
      </c>
      <c r="T37" s="1">
        <v>0.01</v>
      </c>
      <c r="U37" s="1">
        <v>1.2E-2</v>
      </c>
      <c r="V37" s="1">
        <v>0.34599999999999997</v>
      </c>
      <c r="W37" s="1">
        <v>0.35599999999999998</v>
      </c>
      <c r="X37" s="1">
        <v>4.0000000000000001E-3</v>
      </c>
      <c r="Y37" s="1">
        <v>5.0000000000000001E-3</v>
      </c>
      <c r="Z37" s="1">
        <v>1.9E-2</v>
      </c>
      <c r="AA37" s="1">
        <v>2.1999999999999999E-2</v>
      </c>
      <c r="AB37" s="1">
        <v>0.253</v>
      </c>
      <c r="AC37" s="1">
        <v>0.26300000000000001</v>
      </c>
      <c r="AD37" s="1">
        <v>1.2999999999999999E-2</v>
      </c>
      <c r="AE37" s="1">
        <v>1.6E-2</v>
      </c>
    </row>
    <row r="38" spans="1:31" x14ac:dyDescent="0.25">
      <c r="A38" t="str">
        <f>B38&amp;VLOOKUP(D38, Lookups!$E$2:$F$8,2,FALSE)&amp;C38</f>
        <v>ColonScreen detectedUnknown</v>
      </c>
      <c r="B38" t="s">
        <v>17</v>
      </c>
      <c r="C38" t="s">
        <v>4</v>
      </c>
      <c r="D38" t="s">
        <v>30</v>
      </c>
      <c r="E38" s="1">
        <v>0.39518072289156625</v>
      </c>
      <c r="F38" s="1">
        <v>3.8554216867469883E-2</v>
      </c>
      <c r="G38" s="1">
        <v>2.4096385542168677E-3</v>
      </c>
      <c r="H38" s="1">
        <v>0.14216867469879518</v>
      </c>
      <c r="I38" s="1">
        <v>2.4096385542168677E-3</v>
      </c>
      <c r="J38" s="1">
        <v>7.2289156626506026E-3</v>
      </c>
      <c r="K38" s="1">
        <v>0.40481927710843374</v>
      </c>
      <c r="L38" s="1">
        <v>7.2289156626506026E-3</v>
      </c>
      <c r="M38" s="1">
        <v>1</v>
      </c>
      <c r="N38" s="2">
        <v>415</v>
      </c>
      <c r="P38" s="1">
        <v>0.34899999999999998</v>
      </c>
      <c r="Q38" s="1">
        <v>0.443</v>
      </c>
      <c r="R38" s="1">
        <v>2.4E-2</v>
      </c>
      <c r="S38" s="1">
        <v>6.2E-2</v>
      </c>
      <c r="T38" s="1">
        <v>0</v>
      </c>
      <c r="U38" s="1">
        <v>1.4E-2</v>
      </c>
      <c r="V38" s="1">
        <v>0.112</v>
      </c>
      <c r="W38" s="1">
        <v>0.17899999999999999</v>
      </c>
      <c r="X38" s="1">
        <v>0</v>
      </c>
      <c r="Y38" s="1">
        <v>1.4E-2</v>
      </c>
      <c r="Z38" s="1">
        <v>2E-3</v>
      </c>
      <c r="AA38" s="1">
        <v>2.1000000000000001E-2</v>
      </c>
      <c r="AB38" s="1">
        <v>0.35899999999999999</v>
      </c>
      <c r="AC38" s="1">
        <v>0.45300000000000001</v>
      </c>
      <c r="AD38" s="1">
        <v>2E-3</v>
      </c>
      <c r="AE38" s="1">
        <v>2.1000000000000001E-2</v>
      </c>
    </row>
    <row r="39" spans="1:31" x14ac:dyDescent="0.25">
      <c r="A39" t="str">
        <f>B39&amp;VLOOKUP(D39, Lookups!$E$2:$F$8,2,FALSE)&amp;C39</f>
        <v>ColonTwo Week WaitUnknown</v>
      </c>
      <c r="B39" t="s">
        <v>17</v>
      </c>
      <c r="C39" t="s">
        <v>4</v>
      </c>
      <c r="D39" t="s">
        <v>31</v>
      </c>
      <c r="E39" s="1">
        <v>0.23986013986013985</v>
      </c>
      <c r="F39" s="1">
        <v>5.5244755244755243E-2</v>
      </c>
      <c r="G39" s="1">
        <v>1.6083916083916083E-2</v>
      </c>
      <c r="H39" s="1">
        <v>0.12377622377622377</v>
      </c>
      <c r="I39" s="1">
        <v>1.3986013986013986E-3</v>
      </c>
      <c r="J39" s="1">
        <v>1.2587412587412588E-2</v>
      </c>
      <c r="K39" s="1">
        <v>0.5468531468531469</v>
      </c>
      <c r="L39" s="1">
        <v>4.1958041958041958E-3</v>
      </c>
      <c r="M39" s="1">
        <v>1</v>
      </c>
      <c r="N39" s="2">
        <v>1430</v>
      </c>
      <c r="P39" s="1">
        <v>0.218</v>
      </c>
      <c r="Q39" s="1">
        <v>0.26300000000000001</v>
      </c>
      <c r="R39" s="1">
        <v>4.4999999999999998E-2</v>
      </c>
      <c r="S39" s="1">
        <v>6.8000000000000005E-2</v>
      </c>
      <c r="T39" s="1">
        <v>1.0999999999999999E-2</v>
      </c>
      <c r="U39" s="1">
        <v>2.4E-2</v>
      </c>
      <c r="V39" s="1">
        <v>0.108</v>
      </c>
      <c r="W39" s="1">
        <v>0.14199999999999999</v>
      </c>
      <c r="X39" s="1">
        <v>0</v>
      </c>
      <c r="Y39" s="1">
        <v>5.0000000000000001E-3</v>
      </c>
      <c r="Z39" s="1">
        <v>8.0000000000000002E-3</v>
      </c>
      <c r="AA39" s="1">
        <v>0.02</v>
      </c>
      <c r="AB39" s="1">
        <v>0.52100000000000002</v>
      </c>
      <c r="AC39" s="1">
        <v>0.57199999999999995</v>
      </c>
      <c r="AD39" s="1">
        <v>2E-3</v>
      </c>
      <c r="AE39" s="1">
        <v>8.9999999999999993E-3</v>
      </c>
    </row>
    <row r="40" spans="1:31" x14ac:dyDescent="0.25">
      <c r="A40" t="str">
        <f>B40&amp;VLOOKUP(D40, Lookups!$E$2:$F$8,2,FALSE)&amp;C40</f>
        <v>ColonGP referralUnknown</v>
      </c>
      <c r="B40" t="s">
        <v>17</v>
      </c>
      <c r="C40" t="s">
        <v>4</v>
      </c>
      <c r="D40" t="s">
        <v>2</v>
      </c>
      <c r="E40" s="1">
        <v>0.20888704318936877</v>
      </c>
      <c r="F40" s="1">
        <v>3.9036544850498338E-2</v>
      </c>
      <c r="G40" s="1">
        <v>1.3704318936877076E-2</v>
      </c>
      <c r="H40" s="1">
        <v>5.3156146179401995E-2</v>
      </c>
      <c r="I40" s="1">
        <v>3.3222591362126247E-3</v>
      </c>
      <c r="J40" s="1">
        <v>7.4750830564784057E-3</v>
      </c>
      <c r="K40" s="1">
        <v>0.67151162790697672</v>
      </c>
      <c r="L40" s="1">
        <v>2.9069767441860465E-3</v>
      </c>
      <c r="M40" s="1">
        <v>1</v>
      </c>
      <c r="N40" s="2">
        <v>2408</v>
      </c>
      <c r="P40" s="1">
        <v>0.193</v>
      </c>
      <c r="Q40" s="1">
        <v>0.22600000000000001</v>
      </c>
      <c r="R40" s="1">
        <v>3.2000000000000001E-2</v>
      </c>
      <c r="S40" s="1">
        <v>4.8000000000000001E-2</v>
      </c>
      <c r="T40" s="1">
        <v>0.01</v>
      </c>
      <c r="U40" s="1">
        <v>1.9E-2</v>
      </c>
      <c r="V40" s="1">
        <v>4.4999999999999998E-2</v>
      </c>
      <c r="W40" s="1">
        <v>6.3E-2</v>
      </c>
      <c r="X40" s="1">
        <v>2E-3</v>
      </c>
      <c r="Y40" s="1">
        <v>7.0000000000000001E-3</v>
      </c>
      <c r="Z40" s="1">
        <v>5.0000000000000001E-3</v>
      </c>
      <c r="AA40" s="1">
        <v>1.2E-2</v>
      </c>
      <c r="AB40" s="1">
        <v>0.65200000000000002</v>
      </c>
      <c r="AC40" s="1">
        <v>0.69</v>
      </c>
      <c r="AD40" s="1">
        <v>1E-3</v>
      </c>
      <c r="AE40" s="1">
        <v>6.0000000000000001E-3</v>
      </c>
    </row>
    <row r="41" spans="1:31" x14ac:dyDescent="0.25">
      <c r="A41" t="str">
        <f>B41&amp;VLOOKUP(D41, Lookups!$E$2:$F$8,2,FALSE)&amp;C41</f>
        <v>ColonIP &amp; OPUnknown</v>
      </c>
      <c r="B41" t="s">
        <v>17</v>
      </c>
      <c r="C41" t="s">
        <v>4</v>
      </c>
      <c r="D41" t="s">
        <v>32</v>
      </c>
      <c r="E41" s="1">
        <v>0.23975044563279857</v>
      </c>
      <c r="F41" s="1">
        <v>5.8823529411764705E-2</v>
      </c>
      <c r="G41" s="1">
        <v>2.1390374331550801E-2</v>
      </c>
      <c r="H41" s="1">
        <v>6.4171122994652413E-2</v>
      </c>
      <c r="I41" s="1">
        <v>1.7825311942959001E-3</v>
      </c>
      <c r="J41" s="1">
        <v>7.1301247771836003E-3</v>
      </c>
      <c r="K41" s="1">
        <v>0.60516934046345816</v>
      </c>
      <c r="L41" s="1">
        <v>1.7825311942959001E-3</v>
      </c>
      <c r="M41" s="1">
        <v>1</v>
      </c>
      <c r="N41" s="2">
        <v>1122</v>
      </c>
      <c r="P41" s="1">
        <v>0.216</v>
      </c>
      <c r="Q41" s="1">
        <v>0.26600000000000001</v>
      </c>
      <c r="R41" s="1">
        <v>4.7E-2</v>
      </c>
      <c r="S41" s="1">
        <v>7.3999999999999996E-2</v>
      </c>
      <c r="T41" s="1">
        <v>1.4E-2</v>
      </c>
      <c r="U41" s="1">
        <v>3.2000000000000001E-2</v>
      </c>
      <c r="V41" s="1">
        <v>5.0999999999999997E-2</v>
      </c>
      <c r="W41" s="1">
        <v>0.08</v>
      </c>
      <c r="X41" s="1">
        <v>0</v>
      </c>
      <c r="Y41" s="1">
        <v>6.0000000000000001E-3</v>
      </c>
      <c r="Z41" s="1">
        <v>4.0000000000000001E-3</v>
      </c>
      <c r="AA41" s="1">
        <v>1.4E-2</v>
      </c>
      <c r="AB41" s="1">
        <v>0.57599999999999996</v>
      </c>
      <c r="AC41" s="1">
        <v>0.63300000000000001</v>
      </c>
      <c r="AD41" s="1">
        <v>0</v>
      </c>
      <c r="AE41" s="1">
        <v>6.0000000000000001E-3</v>
      </c>
    </row>
    <row r="42" spans="1:31" x14ac:dyDescent="0.25">
      <c r="A42" t="str">
        <f>B42&amp;VLOOKUP(D42, Lookups!$E$2:$F$8,2,FALSE)&amp;C42</f>
        <v>ColonEmergency presentationUnknown</v>
      </c>
      <c r="B42" t="s">
        <v>17</v>
      </c>
      <c r="C42" t="s">
        <v>4</v>
      </c>
      <c r="D42" t="s">
        <v>33</v>
      </c>
      <c r="E42" s="1">
        <v>0.13723737147966025</v>
      </c>
      <c r="F42" s="1">
        <v>1.3857845328565042E-2</v>
      </c>
      <c r="G42" s="1">
        <v>7.8229772016092988E-3</v>
      </c>
      <c r="H42" s="1">
        <v>4.2020563254358517E-2</v>
      </c>
      <c r="I42" s="1">
        <v>1.3410818059901655E-3</v>
      </c>
      <c r="J42" s="1">
        <v>2.4586499776486368E-3</v>
      </c>
      <c r="K42" s="1">
        <v>0.79369691551184618</v>
      </c>
      <c r="L42" s="1">
        <v>1.5645954403218597E-3</v>
      </c>
      <c r="M42" s="1">
        <v>0.99999999999999989</v>
      </c>
      <c r="N42" s="2">
        <v>4474</v>
      </c>
      <c r="P42" s="1">
        <v>0.127</v>
      </c>
      <c r="Q42" s="1">
        <v>0.14799999999999999</v>
      </c>
      <c r="R42" s="1">
        <v>1.0999999999999999E-2</v>
      </c>
      <c r="S42" s="1">
        <v>1.7999999999999999E-2</v>
      </c>
      <c r="T42" s="1">
        <v>6.0000000000000001E-3</v>
      </c>
      <c r="U42" s="1">
        <v>1.0999999999999999E-2</v>
      </c>
      <c r="V42" s="1">
        <v>3.6999999999999998E-2</v>
      </c>
      <c r="W42" s="1">
        <v>4.8000000000000001E-2</v>
      </c>
      <c r="X42" s="1">
        <v>1E-3</v>
      </c>
      <c r="Y42" s="1">
        <v>3.0000000000000001E-3</v>
      </c>
      <c r="Z42" s="1">
        <v>1E-3</v>
      </c>
      <c r="AA42" s="1">
        <v>4.0000000000000001E-3</v>
      </c>
      <c r="AB42" s="1">
        <v>0.78200000000000003</v>
      </c>
      <c r="AC42" s="1">
        <v>0.80500000000000005</v>
      </c>
      <c r="AD42" s="1">
        <v>1E-3</v>
      </c>
      <c r="AE42" s="1">
        <v>3.0000000000000001E-3</v>
      </c>
    </row>
    <row r="43" spans="1:31" x14ac:dyDescent="0.25">
      <c r="A43" t="str">
        <f>B43&amp;VLOOKUP(D43, Lookups!$E$2:$F$8,2,FALSE)&amp;C43</f>
        <v>ColonUnknownUnknown</v>
      </c>
      <c r="B43" t="s">
        <v>17</v>
      </c>
      <c r="C43" t="s">
        <v>4</v>
      </c>
      <c r="D43" t="s">
        <v>4</v>
      </c>
      <c r="E43" s="1">
        <v>0.19349845201238391</v>
      </c>
      <c r="F43" s="1">
        <v>3.5603715170278639E-2</v>
      </c>
      <c r="G43" s="1">
        <v>9.2879256965944269E-3</v>
      </c>
      <c r="H43" s="1">
        <v>2.4767801857585141E-2</v>
      </c>
      <c r="I43" s="1">
        <v>0</v>
      </c>
      <c r="J43" s="1">
        <v>3.0959752321981426E-3</v>
      </c>
      <c r="K43" s="1">
        <v>0.7321981424148607</v>
      </c>
      <c r="L43" s="1">
        <v>1.5479876160990713E-3</v>
      </c>
      <c r="M43" s="1">
        <v>1</v>
      </c>
      <c r="N43" s="2">
        <v>646</v>
      </c>
      <c r="P43" s="1">
        <v>0.16500000000000001</v>
      </c>
      <c r="Q43" s="1">
        <v>0.22600000000000001</v>
      </c>
      <c r="R43" s="1">
        <v>2.4E-2</v>
      </c>
      <c r="S43" s="1">
        <v>5.2999999999999999E-2</v>
      </c>
      <c r="T43" s="1">
        <v>4.0000000000000001E-3</v>
      </c>
      <c r="U43" s="1">
        <v>0.02</v>
      </c>
      <c r="V43" s="1">
        <v>1.4999999999999999E-2</v>
      </c>
      <c r="W43" s="1">
        <v>0.04</v>
      </c>
      <c r="X43" s="1">
        <v>0</v>
      </c>
      <c r="Y43" s="1">
        <v>6.0000000000000001E-3</v>
      </c>
      <c r="Z43" s="1">
        <v>1E-3</v>
      </c>
      <c r="AA43" s="1">
        <v>1.0999999999999999E-2</v>
      </c>
      <c r="AB43" s="1">
        <v>0.69699999999999995</v>
      </c>
      <c r="AC43" s="1">
        <v>0.76500000000000001</v>
      </c>
      <c r="AD43" s="1">
        <v>0</v>
      </c>
      <c r="AE43" s="1">
        <v>8.9999999999999993E-3</v>
      </c>
    </row>
    <row r="44" spans="1:31" x14ac:dyDescent="0.25">
      <c r="A44" t="str">
        <f>B44&amp;VLOOKUP(D44, Lookups!$E$2:$F$8,2,FALSE)&amp;C44</f>
        <v>ColonAll RoutesUnknown</v>
      </c>
      <c r="B44" t="s">
        <v>17</v>
      </c>
      <c r="C44" t="s">
        <v>4</v>
      </c>
      <c r="D44" t="s">
        <v>34</v>
      </c>
      <c r="E44" s="1">
        <v>0.19228203906622202</v>
      </c>
      <c r="F44" s="1">
        <v>3.239637922820391E-2</v>
      </c>
      <c r="G44" s="1">
        <v>1.1624583134826108E-2</v>
      </c>
      <c r="H44" s="1">
        <v>6.0981419723677939E-2</v>
      </c>
      <c r="I44" s="1">
        <v>1.810385898046689E-3</v>
      </c>
      <c r="J44" s="1">
        <v>5.717008099094807E-3</v>
      </c>
      <c r="K44" s="1">
        <v>0.69271081467365414</v>
      </c>
      <c r="L44" s="1">
        <v>2.4773701762744165E-3</v>
      </c>
      <c r="M44" s="1">
        <v>1</v>
      </c>
      <c r="N44" s="2">
        <v>10495</v>
      </c>
      <c r="P44" s="1">
        <v>0.185</v>
      </c>
      <c r="Q44" s="1">
        <v>0.2</v>
      </c>
      <c r="R44" s="1">
        <v>2.9000000000000001E-2</v>
      </c>
      <c r="S44" s="1">
        <v>3.5999999999999997E-2</v>
      </c>
      <c r="T44" s="1">
        <v>0.01</v>
      </c>
      <c r="U44" s="1">
        <v>1.4E-2</v>
      </c>
      <c r="V44" s="1">
        <v>5.7000000000000002E-2</v>
      </c>
      <c r="W44" s="1">
        <v>6.6000000000000003E-2</v>
      </c>
      <c r="X44" s="1">
        <v>1E-3</v>
      </c>
      <c r="Y44" s="1">
        <v>3.0000000000000001E-3</v>
      </c>
      <c r="Z44" s="1">
        <v>4.0000000000000001E-3</v>
      </c>
      <c r="AA44" s="1">
        <v>7.0000000000000001E-3</v>
      </c>
      <c r="AB44" s="1">
        <v>0.68400000000000005</v>
      </c>
      <c r="AC44" s="1">
        <v>0.70099999999999996</v>
      </c>
      <c r="AD44" s="1">
        <v>2E-3</v>
      </c>
      <c r="AE44" s="1">
        <v>4.0000000000000001E-3</v>
      </c>
    </row>
    <row r="45" spans="1:31" x14ac:dyDescent="0.25">
      <c r="A45" t="str">
        <f>B45&amp;VLOOKUP(D45, Lookups!$E$2:$F$8,2,FALSE)&amp;C45</f>
        <v>RectumScreen detectedEarly</v>
      </c>
      <c r="B45" t="s">
        <v>18</v>
      </c>
      <c r="C45" t="s">
        <v>38</v>
      </c>
      <c r="D45" t="s">
        <v>30</v>
      </c>
      <c r="E45" s="1">
        <v>0.73288093769278229</v>
      </c>
      <c r="F45" s="1">
        <v>6.1690314620604567E-4</v>
      </c>
      <c r="G45" s="1">
        <v>5.5521283158544111E-3</v>
      </c>
      <c r="H45" s="1">
        <v>5.6138186304750155E-2</v>
      </c>
      <c r="I45" s="1">
        <v>8.760024676125848E-2</v>
      </c>
      <c r="J45" s="1">
        <v>1.2954966070326958E-2</v>
      </c>
      <c r="K45" s="1">
        <v>9.8704503392967307E-3</v>
      </c>
      <c r="L45" s="1">
        <v>9.438618136952498E-2</v>
      </c>
      <c r="M45" s="1">
        <v>1</v>
      </c>
      <c r="N45" s="2">
        <v>1621</v>
      </c>
      <c r="P45" s="1">
        <v>0.71099999999999997</v>
      </c>
      <c r="Q45" s="1">
        <v>0.754</v>
      </c>
      <c r="R45" s="1">
        <v>0</v>
      </c>
      <c r="S45" s="1">
        <v>3.0000000000000001E-3</v>
      </c>
      <c r="T45" s="1">
        <v>3.0000000000000001E-3</v>
      </c>
      <c r="U45" s="1">
        <v>1.0999999999999999E-2</v>
      </c>
      <c r="V45" s="1">
        <v>4.5999999999999999E-2</v>
      </c>
      <c r="W45" s="1">
        <v>6.8000000000000005E-2</v>
      </c>
      <c r="X45" s="1">
        <v>7.4999999999999997E-2</v>
      </c>
      <c r="Y45" s="1">
        <v>0.10199999999999999</v>
      </c>
      <c r="Z45" s="1">
        <v>8.0000000000000002E-3</v>
      </c>
      <c r="AA45" s="1">
        <v>0.02</v>
      </c>
      <c r="AB45" s="1">
        <v>6.0000000000000001E-3</v>
      </c>
      <c r="AC45" s="1">
        <v>1.6E-2</v>
      </c>
      <c r="AD45" s="1">
        <v>8.1000000000000003E-2</v>
      </c>
      <c r="AE45" s="1">
        <v>0.11</v>
      </c>
    </row>
    <row r="46" spans="1:31" x14ac:dyDescent="0.25">
      <c r="A46" t="str">
        <f>B46&amp;VLOOKUP(D46, Lookups!$E$2:$F$8,2,FALSE)&amp;C46</f>
        <v>RectumTwo Week WaitEarly</v>
      </c>
      <c r="B46" t="s">
        <v>18</v>
      </c>
      <c r="C46" t="s">
        <v>38</v>
      </c>
      <c r="D46" t="s">
        <v>31</v>
      </c>
      <c r="E46" s="1">
        <v>0.57217847769028873</v>
      </c>
      <c r="F46" s="1">
        <v>2.3860653781913625E-3</v>
      </c>
      <c r="G46" s="1">
        <v>5.0107372942018613E-2</v>
      </c>
      <c r="H46" s="1">
        <v>5.2493438320209973E-2</v>
      </c>
      <c r="I46" s="1">
        <v>0.10880458124552612</v>
      </c>
      <c r="J46" s="1">
        <v>3.4120734908136482E-2</v>
      </c>
      <c r="K46" s="1">
        <v>3.6029587210689572E-2</v>
      </c>
      <c r="L46" s="1">
        <v>0.14387974230493916</v>
      </c>
      <c r="M46" s="1">
        <v>1.0000000000000002</v>
      </c>
      <c r="N46" s="2">
        <v>4191</v>
      </c>
      <c r="P46" s="1">
        <v>0.55700000000000005</v>
      </c>
      <c r="Q46" s="1">
        <v>0.58699999999999997</v>
      </c>
      <c r="R46" s="1">
        <v>1E-3</v>
      </c>
      <c r="S46" s="1">
        <v>4.0000000000000001E-3</v>
      </c>
      <c r="T46" s="1">
        <v>4.3999999999999997E-2</v>
      </c>
      <c r="U46" s="1">
        <v>5.7000000000000002E-2</v>
      </c>
      <c r="V46" s="1">
        <v>4.5999999999999999E-2</v>
      </c>
      <c r="W46" s="1">
        <v>0.06</v>
      </c>
      <c r="X46" s="1">
        <v>0.1</v>
      </c>
      <c r="Y46" s="1">
        <v>0.11899999999999999</v>
      </c>
      <c r="Z46" s="1">
        <v>2.9000000000000001E-2</v>
      </c>
      <c r="AA46" s="1">
        <v>0.04</v>
      </c>
      <c r="AB46" s="1">
        <v>3.1E-2</v>
      </c>
      <c r="AC46" s="1">
        <v>4.2000000000000003E-2</v>
      </c>
      <c r="AD46" s="1">
        <v>0.13400000000000001</v>
      </c>
      <c r="AE46" s="1">
        <v>0.155</v>
      </c>
    </row>
    <row r="47" spans="1:31" x14ac:dyDescent="0.25">
      <c r="A47" t="str">
        <f>B47&amp;VLOOKUP(D47, Lookups!$E$2:$F$8,2,FALSE)&amp;C47</f>
        <v>RectumGP referralEarly</v>
      </c>
      <c r="B47" t="s">
        <v>18</v>
      </c>
      <c r="C47" t="s">
        <v>38</v>
      </c>
      <c r="D47" t="s">
        <v>2</v>
      </c>
      <c r="E47" s="1">
        <v>0.61895228561895232</v>
      </c>
      <c r="F47" s="1">
        <v>2.6693360026693361E-3</v>
      </c>
      <c r="G47" s="1">
        <v>4.3043043043043044E-2</v>
      </c>
      <c r="H47" s="1">
        <v>3.9706373039706373E-2</v>
      </c>
      <c r="I47" s="1">
        <v>0.10844177510844177</v>
      </c>
      <c r="J47" s="1">
        <v>3.2032032032032032E-2</v>
      </c>
      <c r="K47" s="1">
        <v>5.1051051051051052E-2</v>
      </c>
      <c r="L47" s="1">
        <v>0.1041041041041041</v>
      </c>
      <c r="M47" s="1">
        <v>1</v>
      </c>
      <c r="N47" s="2">
        <v>2997</v>
      </c>
      <c r="P47" s="1">
        <v>0.60099999999999998</v>
      </c>
      <c r="Q47" s="1">
        <v>0.63600000000000001</v>
      </c>
      <c r="R47" s="1">
        <v>1E-3</v>
      </c>
      <c r="S47" s="1">
        <v>5.0000000000000001E-3</v>
      </c>
      <c r="T47" s="1">
        <v>3.5999999999999997E-2</v>
      </c>
      <c r="U47" s="1">
        <v>5.0999999999999997E-2</v>
      </c>
      <c r="V47" s="1">
        <v>3.3000000000000002E-2</v>
      </c>
      <c r="W47" s="1">
        <v>4.7E-2</v>
      </c>
      <c r="X47" s="1">
        <v>9.8000000000000004E-2</v>
      </c>
      <c r="Y47" s="1">
        <v>0.12</v>
      </c>
      <c r="Z47" s="1">
        <v>2.5999999999999999E-2</v>
      </c>
      <c r="AA47" s="1">
        <v>3.9E-2</v>
      </c>
      <c r="AB47" s="1">
        <v>4.3999999999999997E-2</v>
      </c>
      <c r="AC47" s="1">
        <v>0.06</v>
      </c>
      <c r="AD47" s="1">
        <v>9.4E-2</v>
      </c>
      <c r="AE47" s="1">
        <v>0.11600000000000001</v>
      </c>
    </row>
    <row r="48" spans="1:31" x14ac:dyDescent="0.25">
      <c r="A48" t="str">
        <f>B48&amp;VLOOKUP(D48, Lookups!$E$2:$F$8,2,FALSE)&amp;C48</f>
        <v>RectumIP &amp; OPEarly</v>
      </c>
      <c r="B48" t="s">
        <v>18</v>
      </c>
      <c r="C48" t="s">
        <v>38</v>
      </c>
      <c r="D48" t="s">
        <v>32</v>
      </c>
      <c r="E48" s="1">
        <v>0.65758401453224347</v>
      </c>
      <c r="F48" s="1">
        <v>9.0826521344232513E-4</v>
      </c>
      <c r="G48" s="1">
        <v>3.8147138964577658E-2</v>
      </c>
      <c r="H48" s="1">
        <v>4.632152588555858E-2</v>
      </c>
      <c r="I48" s="1">
        <v>8.2652134423251589E-2</v>
      </c>
      <c r="J48" s="1">
        <v>1.9981834695731154E-2</v>
      </c>
      <c r="K48" s="1">
        <v>5.0862851952770211E-2</v>
      </c>
      <c r="L48" s="1">
        <v>0.10354223433242507</v>
      </c>
      <c r="M48" s="1">
        <v>1</v>
      </c>
      <c r="N48" s="2">
        <v>1101</v>
      </c>
      <c r="P48" s="1">
        <v>0.629</v>
      </c>
      <c r="Q48" s="1">
        <v>0.68500000000000005</v>
      </c>
      <c r="R48" s="1">
        <v>0</v>
      </c>
      <c r="S48" s="1">
        <v>5.0000000000000001E-3</v>
      </c>
      <c r="T48" s="1">
        <v>2.8000000000000001E-2</v>
      </c>
      <c r="U48" s="1">
        <v>5.0999999999999997E-2</v>
      </c>
      <c r="V48" s="1">
        <v>3.5000000000000003E-2</v>
      </c>
      <c r="W48" s="1">
        <v>0.06</v>
      </c>
      <c r="X48" s="1">
        <v>6.8000000000000005E-2</v>
      </c>
      <c r="Y48" s="1">
        <v>0.1</v>
      </c>
      <c r="Z48" s="1">
        <v>1.2999999999999999E-2</v>
      </c>
      <c r="AA48" s="1">
        <v>0.03</v>
      </c>
      <c r="AB48" s="1">
        <v>3.9E-2</v>
      </c>
      <c r="AC48" s="1">
        <v>6.5000000000000002E-2</v>
      </c>
      <c r="AD48" s="1">
        <v>8.6999999999999994E-2</v>
      </c>
      <c r="AE48" s="1">
        <v>0.123</v>
      </c>
    </row>
    <row r="49" spans="1:31" x14ac:dyDescent="0.25">
      <c r="A49" t="str">
        <f>B49&amp;VLOOKUP(D49, Lookups!$E$2:$F$8,2,FALSE)&amp;C49</f>
        <v>RectumEmergency presentationEarly</v>
      </c>
      <c r="B49" t="s">
        <v>18</v>
      </c>
      <c r="C49" t="s">
        <v>38</v>
      </c>
      <c r="D49" t="s">
        <v>33</v>
      </c>
      <c r="E49" s="1">
        <v>0.41084165477888729</v>
      </c>
      <c r="F49" s="1">
        <v>2.8530670470756064E-3</v>
      </c>
      <c r="G49" s="1">
        <v>0.10841654778887304</v>
      </c>
      <c r="H49" s="1">
        <v>5.8487874465049931E-2</v>
      </c>
      <c r="I49" s="1">
        <v>9.843081312410841E-2</v>
      </c>
      <c r="J49" s="1">
        <v>4.136947218259629E-2</v>
      </c>
      <c r="K49" s="1">
        <v>0.18402282453637661</v>
      </c>
      <c r="L49" s="1">
        <v>9.5577746077032816E-2</v>
      </c>
      <c r="M49" s="1">
        <v>1</v>
      </c>
      <c r="N49" s="2">
        <v>701</v>
      </c>
      <c r="P49" s="1">
        <v>0.375</v>
      </c>
      <c r="Q49" s="1">
        <v>0.44800000000000001</v>
      </c>
      <c r="R49" s="1">
        <v>1E-3</v>
      </c>
      <c r="S49" s="1">
        <v>0.01</v>
      </c>
      <c r="T49" s="1">
        <v>8.6999999999999994E-2</v>
      </c>
      <c r="U49" s="1">
        <v>0.13400000000000001</v>
      </c>
      <c r="V49" s="1">
        <v>4.2999999999999997E-2</v>
      </c>
      <c r="W49" s="1">
        <v>7.8E-2</v>
      </c>
      <c r="X49" s="1">
        <v>7.9000000000000001E-2</v>
      </c>
      <c r="Y49" s="1">
        <v>0.123</v>
      </c>
      <c r="Z49" s="1">
        <v>2.9000000000000001E-2</v>
      </c>
      <c r="AA49" s="1">
        <v>5.8999999999999997E-2</v>
      </c>
      <c r="AB49" s="1">
        <v>0.157</v>
      </c>
      <c r="AC49" s="1">
        <v>0.214</v>
      </c>
      <c r="AD49" s="1">
        <v>7.5999999999999998E-2</v>
      </c>
      <c r="AE49" s="1">
        <v>0.12</v>
      </c>
    </row>
    <row r="50" spans="1:31" x14ac:dyDescent="0.25">
      <c r="A50" t="str">
        <f>B50&amp;VLOOKUP(D50, Lookups!$E$2:$F$8,2,FALSE)&amp;C50</f>
        <v>RectumUnknownEarly</v>
      </c>
      <c r="B50" t="s">
        <v>18</v>
      </c>
      <c r="C50" t="s">
        <v>38</v>
      </c>
      <c r="D50" t="s">
        <v>4</v>
      </c>
      <c r="E50" s="1">
        <v>0.59183673469387754</v>
      </c>
      <c r="F50" s="1">
        <v>0</v>
      </c>
      <c r="G50" s="1">
        <v>5.1020408163265307E-2</v>
      </c>
      <c r="H50" s="1">
        <v>5.1020408163265307E-2</v>
      </c>
      <c r="I50" s="1">
        <v>6.1224489795918366E-2</v>
      </c>
      <c r="J50" s="1">
        <v>3.0612244897959183E-2</v>
      </c>
      <c r="K50" s="1">
        <v>0.11224489795918367</v>
      </c>
      <c r="L50" s="1">
        <v>0.10204081632653061</v>
      </c>
      <c r="M50" s="1">
        <v>0.99999999999999989</v>
      </c>
      <c r="N50" s="2">
        <v>196</v>
      </c>
      <c r="P50" s="1">
        <v>0.52200000000000002</v>
      </c>
      <c r="Q50" s="1">
        <v>0.65800000000000003</v>
      </c>
      <c r="R50" s="1">
        <v>0</v>
      </c>
      <c r="S50" s="1">
        <v>1.9E-2</v>
      </c>
      <c r="T50" s="1">
        <v>2.8000000000000001E-2</v>
      </c>
      <c r="U50" s="1">
        <v>9.0999999999999998E-2</v>
      </c>
      <c r="V50" s="1">
        <v>2.8000000000000001E-2</v>
      </c>
      <c r="W50" s="1">
        <v>9.0999999999999998E-2</v>
      </c>
      <c r="X50" s="1">
        <v>3.5000000000000003E-2</v>
      </c>
      <c r="Y50" s="1">
        <v>0.104</v>
      </c>
      <c r="Z50" s="1">
        <v>1.4E-2</v>
      </c>
      <c r="AA50" s="1">
        <v>6.5000000000000002E-2</v>
      </c>
      <c r="AB50" s="1">
        <v>7.4999999999999997E-2</v>
      </c>
      <c r="AC50" s="1">
        <v>0.16400000000000001</v>
      </c>
      <c r="AD50" s="1">
        <v>6.7000000000000004E-2</v>
      </c>
      <c r="AE50" s="1">
        <v>0.152</v>
      </c>
    </row>
    <row r="51" spans="1:31" x14ac:dyDescent="0.25">
      <c r="A51" t="str">
        <f>B51&amp;VLOOKUP(D51, Lookups!$E$2:$F$8,2,FALSE)&amp;C51</f>
        <v>RectumAll RoutesEarly</v>
      </c>
      <c r="B51" t="s">
        <v>18</v>
      </c>
      <c r="C51" t="s">
        <v>38</v>
      </c>
      <c r="D51" t="s">
        <v>34</v>
      </c>
      <c r="E51" s="1">
        <v>0.60784676598500975</v>
      </c>
      <c r="F51" s="1">
        <v>2.035717590450634E-3</v>
      </c>
      <c r="G51" s="1">
        <v>4.4045526047931896E-2</v>
      </c>
      <c r="H51" s="1">
        <v>4.9227352641806235E-2</v>
      </c>
      <c r="I51" s="1">
        <v>0.10132321643379291</v>
      </c>
      <c r="J51" s="1">
        <v>2.9332839826038678E-2</v>
      </c>
      <c r="K51" s="1">
        <v>4.8764689553067453E-2</v>
      </c>
      <c r="L51" s="1">
        <v>0.11742389192190247</v>
      </c>
      <c r="M51" s="1">
        <v>1</v>
      </c>
      <c r="N51" s="2">
        <v>10807</v>
      </c>
      <c r="P51" s="1">
        <v>0.59899999999999998</v>
      </c>
      <c r="Q51" s="1">
        <v>0.61699999999999999</v>
      </c>
      <c r="R51" s="1">
        <v>1E-3</v>
      </c>
      <c r="S51" s="1">
        <v>3.0000000000000001E-3</v>
      </c>
      <c r="T51" s="1">
        <v>0.04</v>
      </c>
      <c r="U51" s="1">
        <v>4.8000000000000001E-2</v>
      </c>
      <c r="V51" s="1">
        <v>4.4999999999999998E-2</v>
      </c>
      <c r="W51" s="1">
        <v>5.2999999999999999E-2</v>
      </c>
      <c r="X51" s="1">
        <v>9.6000000000000002E-2</v>
      </c>
      <c r="Y51" s="1">
        <v>0.107</v>
      </c>
      <c r="Z51" s="1">
        <v>2.5999999999999999E-2</v>
      </c>
      <c r="AA51" s="1">
        <v>3.3000000000000002E-2</v>
      </c>
      <c r="AB51" s="1">
        <v>4.4999999999999998E-2</v>
      </c>
      <c r="AC51" s="1">
        <v>5.2999999999999999E-2</v>
      </c>
      <c r="AD51" s="1">
        <v>0.111</v>
      </c>
      <c r="AE51" s="1">
        <v>0.124</v>
      </c>
    </row>
    <row r="52" spans="1:31" x14ac:dyDescent="0.25">
      <c r="A52" t="str">
        <f>B52&amp;VLOOKUP(D52, Lookups!$E$2:$F$8,2,FALSE)&amp;C52</f>
        <v>RectumScreen detectedLate</v>
      </c>
      <c r="B52" t="s">
        <v>18</v>
      </c>
      <c r="C52" t="s">
        <v>39</v>
      </c>
      <c r="D52" t="s">
        <v>30</v>
      </c>
      <c r="E52" s="1">
        <v>8.639705882352941E-2</v>
      </c>
      <c r="F52" s="1">
        <v>5.7904411764705885E-2</v>
      </c>
      <c r="G52" s="1">
        <v>2.7573529411764705E-2</v>
      </c>
      <c r="H52" s="1">
        <v>0.37224264705882354</v>
      </c>
      <c r="I52" s="1">
        <v>6.4338235294117641E-2</v>
      </c>
      <c r="J52" s="1">
        <v>9.0073529411764705E-2</v>
      </c>
      <c r="K52" s="1">
        <v>2.2058823529411766E-2</v>
      </c>
      <c r="L52" s="1">
        <v>0.27941176470588236</v>
      </c>
      <c r="M52" s="1">
        <v>1</v>
      </c>
      <c r="N52" s="2">
        <v>1088</v>
      </c>
      <c r="P52" s="1">
        <v>7.0999999999999994E-2</v>
      </c>
      <c r="Q52" s="1">
        <v>0.105</v>
      </c>
      <c r="R52" s="1">
        <v>4.5999999999999999E-2</v>
      </c>
      <c r="S52" s="1">
        <v>7.2999999999999995E-2</v>
      </c>
      <c r="T52" s="1">
        <v>1.9E-2</v>
      </c>
      <c r="U52" s="1">
        <v>3.9E-2</v>
      </c>
      <c r="V52" s="1">
        <v>0.34399999999999997</v>
      </c>
      <c r="W52" s="1">
        <v>0.40100000000000002</v>
      </c>
      <c r="X52" s="1">
        <v>5.0999999999999997E-2</v>
      </c>
      <c r="Y52" s="1">
        <v>8.1000000000000003E-2</v>
      </c>
      <c r="Z52" s="1">
        <v>7.3999999999999996E-2</v>
      </c>
      <c r="AA52" s="1">
        <v>0.109</v>
      </c>
      <c r="AB52" s="1">
        <v>1.4999999999999999E-2</v>
      </c>
      <c r="AC52" s="1">
        <v>3.3000000000000002E-2</v>
      </c>
      <c r="AD52" s="1">
        <v>0.254</v>
      </c>
      <c r="AE52" s="1">
        <v>0.307</v>
      </c>
    </row>
    <row r="53" spans="1:31" x14ac:dyDescent="0.25">
      <c r="A53" t="str">
        <f>B53&amp;VLOOKUP(D53, Lookups!$E$2:$F$8,2,FALSE)&amp;C53</f>
        <v>RectumTwo Week WaitLate</v>
      </c>
      <c r="B53" t="s">
        <v>18</v>
      </c>
      <c r="C53" t="s">
        <v>39</v>
      </c>
      <c r="D53" t="s">
        <v>31</v>
      </c>
      <c r="E53" s="1">
        <v>6.6490601211744604E-2</v>
      </c>
      <c r="F53" s="1">
        <v>0.10408575423333852</v>
      </c>
      <c r="G53" s="1">
        <v>8.7929159546372537E-2</v>
      </c>
      <c r="H53" s="1">
        <v>0.15271089016622649</v>
      </c>
      <c r="I53" s="1">
        <v>6.6024545595774434E-2</v>
      </c>
      <c r="J53" s="1">
        <v>0.15286624203821655</v>
      </c>
      <c r="K53" s="1">
        <v>8.6686344570452073E-2</v>
      </c>
      <c r="L53" s="1">
        <v>0.2832064626378748</v>
      </c>
      <c r="M53" s="1">
        <v>1</v>
      </c>
      <c r="N53" s="2">
        <v>6437</v>
      </c>
      <c r="P53" s="1">
        <v>6.0999999999999999E-2</v>
      </c>
      <c r="Q53" s="1">
        <v>7.2999999999999995E-2</v>
      </c>
      <c r="R53" s="1">
        <v>9.7000000000000003E-2</v>
      </c>
      <c r="S53" s="1">
        <v>0.112</v>
      </c>
      <c r="T53" s="1">
        <v>8.1000000000000003E-2</v>
      </c>
      <c r="U53" s="1">
        <v>9.5000000000000001E-2</v>
      </c>
      <c r="V53" s="1">
        <v>0.14399999999999999</v>
      </c>
      <c r="W53" s="1">
        <v>0.16200000000000001</v>
      </c>
      <c r="X53" s="1">
        <v>0.06</v>
      </c>
      <c r="Y53" s="1">
        <v>7.1999999999999995E-2</v>
      </c>
      <c r="Z53" s="1">
        <v>0.14399999999999999</v>
      </c>
      <c r="AA53" s="1">
        <v>0.16200000000000001</v>
      </c>
      <c r="AB53" s="1">
        <v>0.08</v>
      </c>
      <c r="AC53" s="1">
        <v>9.4E-2</v>
      </c>
      <c r="AD53" s="1">
        <v>0.27200000000000002</v>
      </c>
      <c r="AE53" s="1">
        <v>0.29399999999999998</v>
      </c>
    </row>
    <row r="54" spans="1:31" x14ac:dyDescent="0.25">
      <c r="A54" t="str">
        <f>B54&amp;VLOOKUP(D54, Lookups!$E$2:$F$8,2,FALSE)&amp;C54</f>
        <v>RectumGP referralLate</v>
      </c>
      <c r="B54" t="s">
        <v>18</v>
      </c>
      <c r="C54" t="s">
        <v>39</v>
      </c>
      <c r="D54" t="s">
        <v>2</v>
      </c>
      <c r="E54" s="1">
        <v>8.1663176787316785E-2</v>
      </c>
      <c r="F54" s="1">
        <v>8.8842357164223756E-2</v>
      </c>
      <c r="G54" s="1">
        <v>9.7517200119653008E-2</v>
      </c>
      <c r="H54" s="1">
        <v>0.16003589590188452</v>
      </c>
      <c r="I54" s="1">
        <v>5.7433443015255756E-2</v>
      </c>
      <c r="J54" s="1">
        <v>0.13640442716123244</v>
      </c>
      <c r="K54" s="1">
        <v>0.13460963206700569</v>
      </c>
      <c r="L54" s="1">
        <v>0.24349386778342805</v>
      </c>
      <c r="M54" s="1">
        <v>1</v>
      </c>
      <c r="N54" s="2">
        <v>3343</v>
      </c>
      <c r="P54" s="1">
        <v>7.2999999999999995E-2</v>
      </c>
      <c r="Q54" s="1">
        <v>9.0999999999999998E-2</v>
      </c>
      <c r="R54" s="1">
        <v>0.08</v>
      </c>
      <c r="S54" s="1">
        <v>9.9000000000000005E-2</v>
      </c>
      <c r="T54" s="1">
        <v>8.7999999999999995E-2</v>
      </c>
      <c r="U54" s="1">
        <v>0.108</v>
      </c>
      <c r="V54" s="1">
        <v>0.14799999999999999</v>
      </c>
      <c r="W54" s="1">
        <v>0.17299999999999999</v>
      </c>
      <c r="X54" s="1">
        <v>0.05</v>
      </c>
      <c r="Y54" s="1">
        <v>6.6000000000000003E-2</v>
      </c>
      <c r="Z54" s="1">
        <v>0.125</v>
      </c>
      <c r="AA54" s="1">
        <v>0.14799999999999999</v>
      </c>
      <c r="AB54" s="1">
        <v>0.123</v>
      </c>
      <c r="AC54" s="1">
        <v>0.14699999999999999</v>
      </c>
      <c r="AD54" s="1">
        <v>0.22900000000000001</v>
      </c>
      <c r="AE54" s="1">
        <v>0.25800000000000001</v>
      </c>
    </row>
    <row r="55" spans="1:31" x14ac:dyDescent="0.25">
      <c r="A55" t="str">
        <f>B55&amp;VLOOKUP(D55, Lookups!$E$2:$F$8,2,FALSE)&amp;C55</f>
        <v>RectumIP &amp; OPLate</v>
      </c>
      <c r="B55" t="s">
        <v>18</v>
      </c>
      <c r="C55" t="s">
        <v>39</v>
      </c>
      <c r="D55" t="s">
        <v>32</v>
      </c>
      <c r="E55" s="1">
        <v>9.7050428163653668E-2</v>
      </c>
      <c r="F55" s="1">
        <v>0.11037107516650808</v>
      </c>
      <c r="G55" s="1">
        <v>8.3729781160799238E-2</v>
      </c>
      <c r="H55" s="1">
        <v>0.19314938154138916</v>
      </c>
      <c r="I55" s="1">
        <v>3.5204567078972404E-2</v>
      </c>
      <c r="J55" s="1">
        <v>0.13225499524262607</v>
      </c>
      <c r="K55" s="1">
        <v>0.13035204567078973</v>
      </c>
      <c r="L55" s="1">
        <v>0.21788772597526165</v>
      </c>
      <c r="M55" s="1">
        <v>1</v>
      </c>
      <c r="N55" s="2">
        <v>1051</v>
      </c>
      <c r="P55" s="1">
        <v>8.1000000000000003E-2</v>
      </c>
      <c r="Q55" s="1">
        <v>0.11600000000000001</v>
      </c>
      <c r="R55" s="1">
        <v>9.2999999999999999E-2</v>
      </c>
      <c r="S55" s="1">
        <v>0.13100000000000001</v>
      </c>
      <c r="T55" s="1">
        <v>6.8000000000000005E-2</v>
      </c>
      <c r="U55" s="1">
        <v>0.10199999999999999</v>
      </c>
      <c r="V55" s="1">
        <v>0.17</v>
      </c>
      <c r="W55" s="1">
        <v>0.218</v>
      </c>
      <c r="X55" s="1">
        <v>2.5999999999999999E-2</v>
      </c>
      <c r="Y55" s="1">
        <v>4.8000000000000001E-2</v>
      </c>
      <c r="Z55" s="1">
        <v>0.113</v>
      </c>
      <c r="AA55" s="1">
        <v>0.154</v>
      </c>
      <c r="AB55" s="1">
        <v>0.111</v>
      </c>
      <c r="AC55" s="1">
        <v>0.152</v>
      </c>
      <c r="AD55" s="1">
        <v>0.19400000000000001</v>
      </c>
      <c r="AE55" s="1">
        <v>0.24399999999999999</v>
      </c>
    </row>
    <row r="56" spans="1:31" x14ac:dyDescent="0.25">
      <c r="A56" t="str">
        <f>B56&amp;VLOOKUP(D56, Lookups!$E$2:$F$8,2,FALSE)&amp;C56</f>
        <v>RectumEmergency presentationLate</v>
      </c>
      <c r="B56" t="s">
        <v>18</v>
      </c>
      <c r="C56" t="s">
        <v>39</v>
      </c>
      <c r="D56" t="s">
        <v>33</v>
      </c>
      <c r="E56" s="1">
        <v>6.894447834045149E-2</v>
      </c>
      <c r="F56" s="1">
        <v>8.6638194020744352E-2</v>
      </c>
      <c r="G56" s="1">
        <v>0.12019524100061013</v>
      </c>
      <c r="H56" s="1">
        <v>8.35875533862111E-2</v>
      </c>
      <c r="I56" s="1">
        <v>2.5625381330079317E-2</v>
      </c>
      <c r="J56" s="1">
        <v>0.10250152532031727</v>
      </c>
      <c r="K56" s="1">
        <v>0.43319097010372176</v>
      </c>
      <c r="L56" s="1">
        <v>7.9316656497864554E-2</v>
      </c>
      <c r="M56" s="1">
        <v>0.99999999999999989</v>
      </c>
      <c r="N56" s="2">
        <v>1639</v>
      </c>
      <c r="P56" s="1">
        <v>5.8000000000000003E-2</v>
      </c>
      <c r="Q56" s="1">
        <v>8.2000000000000003E-2</v>
      </c>
      <c r="R56" s="1">
        <v>7.3999999999999996E-2</v>
      </c>
      <c r="S56" s="1">
        <v>0.10100000000000001</v>
      </c>
      <c r="T56" s="1">
        <v>0.105</v>
      </c>
      <c r="U56" s="1">
        <v>0.13700000000000001</v>
      </c>
      <c r="V56" s="1">
        <v>7.0999999999999994E-2</v>
      </c>
      <c r="W56" s="1">
        <v>9.8000000000000004E-2</v>
      </c>
      <c r="X56" s="1">
        <v>1.9E-2</v>
      </c>
      <c r="Y56" s="1">
        <v>3.4000000000000002E-2</v>
      </c>
      <c r="Z56" s="1">
        <v>8.8999999999999996E-2</v>
      </c>
      <c r="AA56" s="1">
        <v>0.11799999999999999</v>
      </c>
      <c r="AB56" s="1">
        <v>0.40899999999999997</v>
      </c>
      <c r="AC56" s="1">
        <v>0.45700000000000002</v>
      </c>
      <c r="AD56" s="1">
        <v>6.7000000000000004E-2</v>
      </c>
      <c r="AE56" s="1">
        <v>9.2999999999999999E-2</v>
      </c>
    </row>
    <row r="57" spans="1:31" x14ac:dyDescent="0.25">
      <c r="A57" t="str">
        <f>B57&amp;VLOOKUP(D57, Lookups!$E$2:$F$8,2,FALSE)&amp;C57</f>
        <v>RectumUnknownLate</v>
      </c>
      <c r="B57" t="s">
        <v>18</v>
      </c>
      <c r="C57" t="s">
        <v>39</v>
      </c>
      <c r="D57" t="s">
        <v>4</v>
      </c>
      <c r="E57" s="1">
        <v>0.13522012578616352</v>
      </c>
      <c r="F57" s="1">
        <v>0.10377358490566038</v>
      </c>
      <c r="G57" s="1">
        <v>8.8050314465408799E-2</v>
      </c>
      <c r="H57" s="1">
        <v>0.10377358490566038</v>
      </c>
      <c r="I57" s="1">
        <v>7.2327044025157231E-2</v>
      </c>
      <c r="J57" s="1">
        <v>9.7484276729559755E-2</v>
      </c>
      <c r="K57" s="1">
        <v>0.21383647798742139</v>
      </c>
      <c r="L57" s="1">
        <v>0.18553459119496854</v>
      </c>
      <c r="M57" s="1">
        <v>0.99999999999999989</v>
      </c>
      <c r="N57" s="2">
        <v>318</v>
      </c>
      <c r="P57" s="1">
        <v>0.10199999999999999</v>
      </c>
      <c r="Q57" s="1">
        <v>0.17699999999999999</v>
      </c>
      <c r="R57" s="1">
        <v>7.4999999999999997E-2</v>
      </c>
      <c r="S57" s="1">
        <v>0.14199999999999999</v>
      </c>
      <c r="T57" s="1">
        <v>6.2E-2</v>
      </c>
      <c r="U57" s="1">
        <v>0.124</v>
      </c>
      <c r="V57" s="1">
        <v>7.4999999999999997E-2</v>
      </c>
      <c r="W57" s="1">
        <v>0.14199999999999999</v>
      </c>
      <c r="X57" s="1">
        <v>4.9000000000000002E-2</v>
      </c>
      <c r="Y57" s="1">
        <v>0.106</v>
      </c>
      <c r="Z57" s="1">
        <v>7.0000000000000007E-2</v>
      </c>
      <c r="AA57" s="1">
        <v>0.13500000000000001</v>
      </c>
      <c r="AB57" s="1">
        <v>0.17199999999999999</v>
      </c>
      <c r="AC57" s="1">
        <v>0.26200000000000001</v>
      </c>
      <c r="AD57" s="1">
        <v>0.14699999999999999</v>
      </c>
      <c r="AE57" s="1">
        <v>0.23200000000000001</v>
      </c>
    </row>
    <row r="58" spans="1:31" x14ac:dyDescent="0.25">
      <c r="A58" t="str">
        <f>B58&amp;VLOOKUP(D58, Lookups!$E$2:$F$8,2,FALSE)&amp;C58</f>
        <v>RectumAll RoutesLate</v>
      </c>
      <c r="B58" t="s">
        <v>18</v>
      </c>
      <c r="C58" t="s">
        <v>39</v>
      </c>
      <c r="D58" t="s">
        <v>34</v>
      </c>
      <c r="E58" s="1">
        <v>7.5886422600172962E-2</v>
      </c>
      <c r="F58" s="1">
        <v>9.5200345921014701E-2</v>
      </c>
      <c r="G58" s="1">
        <v>8.9002594407610255E-2</v>
      </c>
      <c r="H58" s="1">
        <v>0.16546555203228597</v>
      </c>
      <c r="I58" s="1">
        <v>5.6860766791582591E-2</v>
      </c>
      <c r="J58" s="1">
        <v>0.13519746324589219</v>
      </c>
      <c r="K58" s="1">
        <v>0.140314211588354</v>
      </c>
      <c r="L58" s="1">
        <v>0.24207264341308735</v>
      </c>
      <c r="M58" s="1">
        <v>1</v>
      </c>
      <c r="N58" s="2">
        <v>13876</v>
      </c>
      <c r="P58" s="1">
        <v>7.1999999999999995E-2</v>
      </c>
      <c r="Q58" s="1">
        <v>0.08</v>
      </c>
      <c r="R58" s="1">
        <v>0.09</v>
      </c>
      <c r="S58" s="1">
        <v>0.1</v>
      </c>
      <c r="T58" s="1">
        <v>8.4000000000000005E-2</v>
      </c>
      <c r="U58" s="1">
        <v>9.4E-2</v>
      </c>
      <c r="V58" s="1">
        <v>0.159</v>
      </c>
      <c r="W58" s="1">
        <v>0.17199999999999999</v>
      </c>
      <c r="X58" s="1">
        <v>5.2999999999999999E-2</v>
      </c>
      <c r="Y58" s="1">
        <v>6.0999999999999999E-2</v>
      </c>
      <c r="Z58" s="1">
        <v>0.13</v>
      </c>
      <c r="AA58" s="1">
        <v>0.14099999999999999</v>
      </c>
      <c r="AB58" s="1">
        <v>0.13500000000000001</v>
      </c>
      <c r="AC58" s="1">
        <v>0.14599999999999999</v>
      </c>
      <c r="AD58" s="1">
        <v>0.23499999999999999</v>
      </c>
      <c r="AE58" s="1">
        <v>0.249</v>
      </c>
    </row>
    <row r="59" spans="1:31" x14ac:dyDescent="0.25">
      <c r="A59" t="str">
        <f>B59&amp;VLOOKUP(D59, Lookups!$E$2:$F$8,2,FALSE)&amp;C59</f>
        <v>RectumScreen detectedUnknown</v>
      </c>
      <c r="B59" t="s">
        <v>18</v>
      </c>
      <c r="C59" t="s">
        <v>4</v>
      </c>
      <c r="D59" t="s">
        <v>30</v>
      </c>
      <c r="E59" s="1">
        <v>0.26666666666666666</v>
      </c>
      <c r="F59" s="1">
        <v>1.8181818181818181E-2</v>
      </c>
      <c r="G59" s="1">
        <v>3.6363636363636362E-2</v>
      </c>
      <c r="H59" s="1">
        <v>9.0909090909090912E-2</v>
      </c>
      <c r="I59" s="1">
        <v>1.8181818181818181E-2</v>
      </c>
      <c r="J59" s="1">
        <v>6.6666666666666666E-2</v>
      </c>
      <c r="K59" s="1">
        <v>0.36969696969696969</v>
      </c>
      <c r="L59" s="1">
        <v>0.13333333333333333</v>
      </c>
      <c r="M59" s="1">
        <v>1</v>
      </c>
      <c r="N59" s="2">
        <v>165</v>
      </c>
      <c r="P59" s="1">
        <v>0.20499999999999999</v>
      </c>
      <c r="Q59" s="1">
        <v>0.33900000000000002</v>
      </c>
      <c r="R59" s="1">
        <v>6.0000000000000001E-3</v>
      </c>
      <c r="S59" s="1">
        <v>5.1999999999999998E-2</v>
      </c>
      <c r="T59" s="1">
        <v>1.7000000000000001E-2</v>
      </c>
      <c r="U59" s="1">
        <v>7.6999999999999999E-2</v>
      </c>
      <c r="V59" s="1">
        <v>5.6000000000000001E-2</v>
      </c>
      <c r="W59" s="1">
        <v>0.14499999999999999</v>
      </c>
      <c r="X59" s="1">
        <v>6.0000000000000001E-3</v>
      </c>
      <c r="Y59" s="1">
        <v>5.1999999999999998E-2</v>
      </c>
      <c r="Z59" s="1">
        <v>3.7999999999999999E-2</v>
      </c>
      <c r="AA59" s="1">
        <v>0.115</v>
      </c>
      <c r="AB59" s="1">
        <v>0.3</v>
      </c>
      <c r="AC59" s="1">
        <v>0.44600000000000001</v>
      </c>
      <c r="AD59" s="1">
        <v>0.09</v>
      </c>
      <c r="AE59" s="1">
        <v>0.19400000000000001</v>
      </c>
    </row>
    <row r="60" spans="1:31" x14ac:dyDescent="0.25">
      <c r="A60" t="str">
        <f>B60&amp;VLOOKUP(D60, Lookups!$E$2:$F$8,2,FALSE)&amp;C60</f>
        <v>RectumTwo Week WaitUnknown</v>
      </c>
      <c r="B60" t="s">
        <v>18</v>
      </c>
      <c r="C60" t="s">
        <v>4</v>
      </c>
      <c r="D60" t="s">
        <v>31</v>
      </c>
      <c r="E60" s="1">
        <v>0.11892583120204604</v>
      </c>
      <c r="F60" s="1">
        <v>4.2199488491048591E-2</v>
      </c>
      <c r="G60" s="1">
        <v>0.14322250639386189</v>
      </c>
      <c r="H60" s="1">
        <v>5.8823529411764705E-2</v>
      </c>
      <c r="I60" s="1">
        <v>3.5805626598465472E-2</v>
      </c>
      <c r="J60" s="1">
        <v>9.4629156010230184E-2</v>
      </c>
      <c r="K60" s="1">
        <v>0.35805626598465473</v>
      </c>
      <c r="L60" s="1">
        <v>0.14833759590792839</v>
      </c>
      <c r="M60" s="1">
        <v>1</v>
      </c>
      <c r="N60" s="2">
        <v>782</v>
      </c>
      <c r="P60" s="1">
        <v>9.8000000000000004E-2</v>
      </c>
      <c r="Q60" s="1">
        <v>0.14299999999999999</v>
      </c>
      <c r="R60" s="1">
        <v>0.03</v>
      </c>
      <c r="S60" s="1">
        <v>5.8999999999999997E-2</v>
      </c>
      <c r="T60" s="1">
        <v>0.12</v>
      </c>
      <c r="U60" s="1">
        <v>0.17</v>
      </c>
      <c r="V60" s="1">
        <v>4.3999999999999997E-2</v>
      </c>
      <c r="W60" s="1">
        <v>7.8E-2</v>
      </c>
      <c r="X60" s="1">
        <v>2.5000000000000001E-2</v>
      </c>
      <c r="Y60" s="1">
        <v>5.0999999999999997E-2</v>
      </c>
      <c r="Z60" s="1">
        <v>7.5999999999999998E-2</v>
      </c>
      <c r="AA60" s="1">
        <v>0.11700000000000001</v>
      </c>
      <c r="AB60" s="1">
        <v>0.32500000000000001</v>
      </c>
      <c r="AC60" s="1">
        <v>0.39200000000000002</v>
      </c>
      <c r="AD60" s="1">
        <v>0.125</v>
      </c>
      <c r="AE60" s="1">
        <v>0.17499999999999999</v>
      </c>
    </row>
    <row r="61" spans="1:31" x14ac:dyDescent="0.25">
      <c r="A61" t="str">
        <f>B61&amp;VLOOKUP(D61, Lookups!$E$2:$F$8,2,FALSE)&amp;C61</f>
        <v>RectumGP referralUnknown</v>
      </c>
      <c r="B61" t="s">
        <v>18</v>
      </c>
      <c r="C61" t="s">
        <v>4</v>
      </c>
      <c r="D61" t="s">
        <v>2</v>
      </c>
      <c r="E61" s="1">
        <v>0.11422172452407615</v>
      </c>
      <c r="F61" s="1">
        <v>3.6954087346024636E-2</v>
      </c>
      <c r="G61" s="1">
        <v>0.11534154535274356</v>
      </c>
      <c r="H61" s="1">
        <v>3.471444568868981E-2</v>
      </c>
      <c r="I61" s="1">
        <v>1.6797312430011199E-2</v>
      </c>
      <c r="J61" s="1">
        <v>5.2631578947368418E-2</v>
      </c>
      <c r="K61" s="1">
        <v>0.56774916013437848</v>
      </c>
      <c r="L61" s="1">
        <v>6.1590145576707729E-2</v>
      </c>
      <c r="M61" s="1">
        <v>1</v>
      </c>
      <c r="N61" s="2">
        <v>893</v>
      </c>
      <c r="P61" s="1">
        <v>9.5000000000000001E-2</v>
      </c>
      <c r="Q61" s="1">
        <v>0.13700000000000001</v>
      </c>
      <c r="R61" s="1">
        <v>2.5999999999999999E-2</v>
      </c>
      <c r="S61" s="1">
        <v>5.0999999999999997E-2</v>
      </c>
      <c r="T61" s="1">
        <v>9.6000000000000002E-2</v>
      </c>
      <c r="U61" s="1">
        <v>0.13800000000000001</v>
      </c>
      <c r="V61" s="1">
        <v>2.5000000000000001E-2</v>
      </c>
      <c r="W61" s="1">
        <v>4.9000000000000002E-2</v>
      </c>
      <c r="X61" s="1">
        <v>0.01</v>
      </c>
      <c r="Y61" s="1">
        <v>2.8000000000000001E-2</v>
      </c>
      <c r="Z61" s="1">
        <v>0.04</v>
      </c>
      <c r="AA61" s="1">
        <v>6.9000000000000006E-2</v>
      </c>
      <c r="AB61" s="1">
        <v>0.53500000000000003</v>
      </c>
      <c r="AC61" s="1">
        <v>0.6</v>
      </c>
      <c r="AD61" s="1">
        <v>4.8000000000000001E-2</v>
      </c>
      <c r="AE61" s="1">
        <v>7.9000000000000001E-2</v>
      </c>
    </row>
    <row r="62" spans="1:31" x14ac:dyDescent="0.25">
      <c r="A62" t="str">
        <f>B62&amp;VLOOKUP(D62, Lookups!$E$2:$F$8,2,FALSE)&amp;C62</f>
        <v>RectumIP &amp; OPUnknown</v>
      </c>
      <c r="B62" t="s">
        <v>18</v>
      </c>
      <c r="C62" t="s">
        <v>4</v>
      </c>
      <c r="D62" t="s">
        <v>32</v>
      </c>
      <c r="E62" s="1">
        <v>0.13842482100238662</v>
      </c>
      <c r="F62" s="1">
        <v>4.77326968973747E-2</v>
      </c>
      <c r="G62" s="1">
        <v>0.10739856801909307</v>
      </c>
      <c r="H62" s="1">
        <v>4.2959427207637228E-2</v>
      </c>
      <c r="I62" s="1">
        <v>1.1933174224343675E-2</v>
      </c>
      <c r="J62" s="1">
        <v>6.205250596658711E-2</v>
      </c>
      <c r="K62" s="1">
        <v>0.53937947494033411</v>
      </c>
      <c r="L62" s="1">
        <v>5.0119331742243436E-2</v>
      </c>
      <c r="M62" s="1">
        <v>1</v>
      </c>
      <c r="N62" s="2">
        <v>419</v>
      </c>
      <c r="P62" s="1">
        <v>0.109</v>
      </c>
      <c r="Q62" s="1">
        <v>0.17499999999999999</v>
      </c>
      <c r="R62" s="1">
        <v>3.1E-2</v>
      </c>
      <c r="S62" s="1">
        <v>7.2999999999999995E-2</v>
      </c>
      <c r="T62" s="1">
        <v>8.1000000000000003E-2</v>
      </c>
      <c r="U62" s="1">
        <v>0.14099999999999999</v>
      </c>
      <c r="V62" s="1">
        <v>2.7E-2</v>
      </c>
      <c r="W62" s="1">
        <v>6.7000000000000004E-2</v>
      </c>
      <c r="X62" s="1">
        <v>5.0000000000000001E-3</v>
      </c>
      <c r="Y62" s="1">
        <v>2.8000000000000001E-2</v>
      </c>
      <c r="Z62" s="1">
        <v>4.2999999999999997E-2</v>
      </c>
      <c r="AA62" s="1">
        <v>8.8999999999999996E-2</v>
      </c>
      <c r="AB62" s="1">
        <v>0.49199999999999999</v>
      </c>
      <c r="AC62" s="1">
        <v>0.58699999999999997</v>
      </c>
      <c r="AD62" s="1">
        <v>3.3000000000000002E-2</v>
      </c>
      <c r="AE62" s="1">
        <v>7.4999999999999997E-2</v>
      </c>
    </row>
    <row r="63" spans="1:31" x14ac:dyDescent="0.25">
      <c r="A63" t="str">
        <f>B63&amp;VLOOKUP(D63, Lookups!$E$2:$F$8,2,FALSE)&amp;C63</f>
        <v>RectumEmergency presentationUnknown</v>
      </c>
      <c r="B63" t="s">
        <v>18</v>
      </c>
      <c r="C63" t="s">
        <v>4</v>
      </c>
      <c r="D63" t="s">
        <v>33</v>
      </c>
      <c r="E63" s="1">
        <v>5.2631578947368418E-2</v>
      </c>
      <c r="F63" s="1">
        <v>2.0539152759948651E-2</v>
      </c>
      <c r="G63" s="1">
        <v>5.2631578947368418E-2</v>
      </c>
      <c r="H63" s="1">
        <v>7.7021822849807449E-3</v>
      </c>
      <c r="I63" s="1">
        <v>6.4184852374839542E-3</v>
      </c>
      <c r="J63" s="1">
        <v>1.668806161745828E-2</v>
      </c>
      <c r="K63" s="1">
        <v>0.82798459563543003</v>
      </c>
      <c r="L63" s="1">
        <v>1.540436456996149E-2</v>
      </c>
      <c r="M63" s="1">
        <v>1</v>
      </c>
      <c r="N63" s="2">
        <v>779</v>
      </c>
      <c r="P63" s="1">
        <v>3.9E-2</v>
      </c>
      <c r="Q63" s="1">
        <v>7.0999999999999994E-2</v>
      </c>
      <c r="R63" s="1">
        <v>1.2999999999999999E-2</v>
      </c>
      <c r="S63" s="1">
        <v>3.3000000000000002E-2</v>
      </c>
      <c r="T63" s="1">
        <v>3.9E-2</v>
      </c>
      <c r="U63" s="1">
        <v>7.0999999999999994E-2</v>
      </c>
      <c r="V63" s="1">
        <v>4.0000000000000001E-3</v>
      </c>
      <c r="W63" s="1">
        <v>1.7000000000000001E-2</v>
      </c>
      <c r="X63" s="1">
        <v>3.0000000000000001E-3</v>
      </c>
      <c r="Y63" s="1">
        <v>1.4999999999999999E-2</v>
      </c>
      <c r="Z63" s="1">
        <v>0.01</v>
      </c>
      <c r="AA63" s="1">
        <v>2.8000000000000001E-2</v>
      </c>
      <c r="AB63" s="1">
        <v>0.8</v>
      </c>
      <c r="AC63" s="1">
        <v>0.85299999999999998</v>
      </c>
      <c r="AD63" s="1">
        <v>8.9999999999999993E-3</v>
      </c>
      <c r="AE63" s="1">
        <v>2.7E-2</v>
      </c>
    </row>
    <row r="64" spans="1:31" x14ac:dyDescent="0.25">
      <c r="A64" t="str">
        <f>B64&amp;VLOOKUP(D64, Lookups!$E$2:$F$8,2,FALSE)&amp;C64</f>
        <v>RectumUnknownUnknown</v>
      </c>
      <c r="B64" t="s">
        <v>18</v>
      </c>
      <c r="C64" t="s">
        <v>4</v>
      </c>
      <c r="D64" t="s">
        <v>4</v>
      </c>
      <c r="E64" s="1">
        <v>0.16412213740458015</v>
      </c>
      <c r="F64" s="1">
        <v>1.5267175572519083E-2</v>
      </c>
      <c r="G64" s="1">
        <v>7.6335877862595422E-2</v>
      </c>
      <c r="H64" s="1">
        <v>2.6717557251908396E-2</v>
      </c>
      <c r="I64" s="1">
        <v>3.4351145038167941E-2</v>
      </c>
      <c r="J64" s="1">
        <v>3.4351145038167941E-2</v>
      </c>
      <c r="K64" s="1">
        <v>0.61832061068702293</v>
      </c>
      <c r="L64" s="1">
        <v>3.0534351145038167E-2</v>
      </c>
      <c r="M64" s="1">
        <v>1</v>
      </c>
      <c r="N64" s="2">
        <v>262</v>
      </c>
      <c r="P64" s="1">
        <v>0.124</v>
      </c>
      <c r="Q64" s="1">
        <v>0.214</v>
      </c>
      <c r="R64" s="1">
        <v>6.0000000000000001E-3</v>
      </c>
      <c r="S64" s="1">
        <v>3.9E-2</v>
      </c>
      <c r="T64" s="1">
        <v>0.05</v>
      </c>
      <c r="U64" s="1">
        <v>0.115</v>
      </c>
      <c r="V64" s="1">
        <v>1.2999999999999999E-2</v>
      </c>
      <c r="W64" s="1">
        <v>5.3999999999999999E-2</v>
      </c>
      <c r="X64" s="1">
        <v>1.7999999999999999E-2</v>
      </c>
      <c r="Y64" s="1">
        <v>6.4000000000000001E-2</v>
      </c>
      <c r="Z64" s="1">
        <v>1.7999999999999999E-2</v>
      </c>
      <c r="AA64" s="1">
        <v>6.4000000000000001E-2</v>
      </c>
      <c r="AB64" s="1">
        <v>0.55800000000000005</v>
      </c>
      <c r="AC64" s="1">
        <v>0.67500000000000004</v>
      </c>
      <c r="AD64" s="1">
        <v>1.6E-2</v>
      </c>
      <c r="AE64" s="1">
        <v>5.8999999999999997E-2</v>
      </c>
    </row>
    <row r="65" spans="1:31" x14ac:dyDescent="0.25">
      <c r="A65" t="str">
        <f>B65&amp;VLOOKUP(D65, Lookups!$E$2:$F$8,2,FALSE)&amp;C65</f>
        <v>RectumAll RoutesUnknown</v>
      </c>
      <c r="B65" t="s">
        <v>18</v>
      </c>
      <c r="C65" t="s">
        <v>4</v>
      </c>
      <c r="D65" t="s">
        <v>34</v>
      </c>
      <c r="E65" s="1">
        <v>0.11545454545454545</v>
      </c>
      <c r="F65" s="1">
        <v>3.3030303030303028E-2</v>
      </c>
      <c r="G65" s="1">
        <v>9.9090909090909091E-2</v>
      </c>
      <c r="H65" s="1">
        <v>3.727272727272727E-2</v>
      </c>
      <c r="I65" s="1">
        <v>1.9696969696969695E-2</v>
      </c>
      <c r="J65" s="1">
        <v>5.4545454545454543E-2</v>
      </c>
      <c r="K65" s="1">
        <v>0.56999999999999995</v>
      </c>
      <c r="L65" s="1">
        <v>7.0909090909090908E-2</v>
      </c>
      <c r="M65" s="1">
        <v>1</v>
      </c>
      <c r="N65" s="2">
        <v>3300</v>
      </c>
      <c r="P65" s="1">
        <v>0.105</v>
      </c>
      <c r="Q65" s="1">
        <v>0.127</v>
      </c>
      <c r="R65" s="1">
        <v>2.7E-2</v>
      </c>
      <c r="S65" s="1">
        <v>0.04</v>
      </c>
      <c r="T65" s="1">
        <v>8.8999999999999996E-2</v>
      </c>
      <c r="U65" s="1">
        <v>0.11</v>
      </c>
      <c r="V65" s="1">
        <v>3.1E-2</v>
      </c>
      <c r="W65" s="1">
        <v>4.3999999999999997E-2</v>
      </c>
      <c r="X65" s="1">
        <v>1.4999999999999999E-2</v>
      </c>
      <c r="Y65" s="1">
        <v>2.5000000000000001E-2</v>
      </c>
      <c r="Z65" s="1">
        <v>4.7E-2</v>
      </c>
      <c r="AA65" s="1">
        <v>6.3E-2</v>
      </c>
      <c r="AB65" s="1">
        <v>0.55300000000000005</v>
      </c>
      <c r="AC65" s="1">
        <v>0.58699999999999997</v>
      </c>
      <c r="AD65" s="1">
        <v>6.3E-2</v>
      </c>
      <c r="AE65" s="1">
        <v>0.08</v>
      </c>
    </row>
    <row r="66" spans="1:31" x14ac:dyDescent="0.25">
      <c r="A66" t="str">
        <f>B66&amp;VLOOKUP(D66, Lookups!$E$2:$F$8,2,FALSE)&amp;C66</f>
        <v>NSCLCScreen detectedEarly</v>
      </c>
      <c r="B66" t="s">
        <v>19</v>
      </c>
      <c r="C66" t="s">
        <v>38</v>
      </c>
      <c r="D66" t="s">
        <v>30</v>
      </c>
      <c r="E66" s="1" t="s">
        <v>137</v>
      </c>
      <c r="F66" s="1" t="s">
        <v>137</v>
      </c>
      <c r="G66" s="1" t="s">
        <v>137</v>
      </c>
      <c r="H66" s="1" t="s">
        <v>137</v>
      </c>
      <c r="I66" s="1" t="s">
        <v>137</v>
      </c>
      <c r="J66" s="1" t="s">
        <v>137</v>
      </c>
      <c r="K66" s="1" t="s">
        <v>137</v>
      </c>
      <c r="L66" s="1" t="s">
        <v>137</v>
      </c>
      <c r="M66" s="1">
        <v>0</v>
      </c>
      <c r="N66" s="2">
        <v>0</v>
      </c>
      <c r="P66" s="1"/>
      <c r="Q66" s="1"/>
      <c r="R66" s="1"/>
      <c r="S66" s="1"/>
      <c r="T66" s="1"/>
      <c r="U66" s="1"/>
      <c r="V66" s="1"/>
      <c r="W66" s="1"/>
      <c r="X66" s="1"/>
      <c r="Y66" s="1"/>
      <c r="Z66" s="1"/>
      <c r="AA66" s="1"/>
      <c r="AB66" s="1"/>
      <c r="AC66" s="1"/>
      <c r="AD66" s="1"/>
      <c r="AE66" s="1"/>
    </row>
    <row r="67" spans="1:31" x14ac:dyDescent="0.25">
      <c r="A67" t="str">
        <f>B67&amp;VLOOKUP(D67, Lookups!$E$2:$F$8,2,FALSE)&amp;C67</f>
        <v>NSCLCTwo Week WaitEarly</v>
      </c>
      <c r="B67" t="s">
        <v>19</v>
      </c>
      <c r="C67" t="s">
        <v>38</v>
      </c>
      <c r="D67" t="s">
        <v>31</v>
      </c>
      <c r="E67" s="1">
        <v>0.45912731289698977</v>
      </c>
      <c r="F67" s="1">
        <v>2.0712510356255178E-2</v>
      </c>
      <c r="G67" s="1">
        <v>0.17288041977354321</v>
      </c>
      <c r="H67" s="1">
        <v>0.13753106876553439</v>
      </c>
      <c r="I67" s="1">
        <v>1.7398508699254349E-2</v>
      </c>
      <c r="J67" s="1">
        <v>3.2035349351008012E-2</v>
      </c>
      <c r="K67" s="1">
        <v>0.15189174261253796</v>
      </c>
      <c r="L67" s="1">
        <v>8.4230875448771062E-3</v>
      </c>
      <c r="M67" s="1">
        <v>0.99999999999999989</v>
      </c>
      <c r="N67" s="2">
        <v>7242</v>
      </c>
      <c r="P67" s="1">
        <v>0.44800000000000001</v>
      </c>
      <c r="Q67" s="1">
        <v>0.47099999999999997</v>
      </c>
      <c r="R67" s="1">
        <v>1.7999999999999999E-2</v>
      </c>
      <c r="S67" s="1">
        <v>2.4E-2</v>
      </c>
      <c r="T67" s="1">
        <v>0.16400000000000001</v>
      </c>
      <c r="U67" s="1">
        <v>0.182</v>
      </c>
      <c r="V67" s="1">
        <v>0.13</v>
      </c>
      <c r="W67" s="1">
        <v>0.14599999999999999</v>
      </c>
      <c r="X67" s="1">
        <v>1.4999999999999999E-2</v>
      </c>
      <c r="Y67" s="1">
        <v>2.1000000000000001E-2</v>
      </c>
      <c r="Z67" s="1">
        <v>2.8000000000000001E-2</v>
      </c>
      <c r="AA67" s="1">
        <v>3.5999999999999997E-2</v>
      </c>
      <c r="AB67" s="1">
        <v>0.14399999999999999</v>
      </c>
      <c r="AC67" s="1">
        <v>0.16</v>
      </c>
      <c r="AD67" s="1">
        <v>7.0000000000000001E-3</v>
      </c>
      <c r="AE67" s="1">
        <v>1.0999999999999999E-2</v>
      </c>
    </row>
    <row r="68" spans="1:31" x14ac:dyDescent="0.25">
      <c r="A68" t="str">
        <f>B68&amp;VLOOKUP(D68, Lookups!$E$2:$F$8,2,FALSE)&amp;C68</f>
        <v>NSCLCGP referralEarly</v>
      </c>
      <c r="B68" t="s">
        <v>19</v>
      </c>
      <c r="C68" t="s">
        <v>38</v>
      </c>
      <c r="D68" t="s">
        <v>2</v>
      </c>
      <c r="E68" s="1">
        <v>0.43946419371458012</v>
      </c>
      <c r="F68" s="1">
        <v>2.0865533230293665E-2</v>
      </c>
      <c r="G68" s="1">
        <v>0.2036321483771252</v>
      </c>
      <c r="H68" s="1">
        <v>6.9036579082946928E-2</v>
      </c>
      <c r="I68" s="1">
        <v>1.3266357547655847E-2</v>
      </c>
      <c r="J68" s="1">
        <v>2.0607934054611025E-2</v>
      </c>
      <c r="K68" s="1">
        <v>0.22758887171561051</v>
      </c>
      <c r="L68" s="1">
        <v>5.5383822771767127E-3</v>
      </c>
      <c r="M68" s="1">
        <v>1</v>
      </c>
      <c r="N68" s="2">
        <v>7764</v>
      </c>
      <c r="P68" s="1">
        <v>0.42799999999999999</v>
      </c>
      <c r="Q68" s="1">
        <v>0.45100000000000001</v>
      </c>
      <c r="R68" s="1">
        <v>1.7999999999999999E-2</v>
      </c>
      <c r="S68" s="1">
        <v>2.4E-2</v>
      </c>
      <c r="T68" s="1">
        <v>0.19500000000000001</v>
      </c>
      <c r="U68" s="1">
        <v>0.21299999999999999</v>
      </c>
      <c r="V68" s="1">
        <v>6.4000000000000001E-2</v>
      </c>
      <c r="W68" s="1">
        <v>7.4999999999999997E-2</v>
      </c>
      <c r="X68" s="1">
        <v>1.0999999999999999E-2</v>
      </c>
      <c r="Y68" s="1">
        <v>1.6E-2</v>
      </c>
      <c r="Z68" s="1">
        <v>1.7999999999999999E-2</v>
      </c>
      <c r="AA68" s="1">
        <v>2.4E-2</v>
      </c>
      <c r="AB68" s="1">
        <v>0.218</v>
      </c>
      <c r="AC68" s="1">
        <v>0.23699999999999999</v>
      </c>
      <c r="AD68" s="1">
        <v>4.0000000000000001E-3</v>
      </c>
      <c r="AE68" s="1">
        <v>7.0000000000000001E-3</v>
      </c>
    </row>
    <row r="69" spans="1:31" x14ac:dyDescent="0.25">
      <c r="A69" t="str">
        <f>B69&amp;VLOOKUP(D69, Lookups!$E$2:$F$8,2,FALSE)&amp;C69</f>
        <v>NSCLCIP &amp; OPEarly</v>
      </c>
      <c r="B69" t="s">
        <v>19</v>
      </c>
      <c r="C69" t="s">
        <v>38</v>
      </c>
      <c r="D69" t="s">
        <v>32</v>
      </c>
      <c r="E69" s="1">
        <v>0.52759706190975864</v>
      </c>
      <c r="F69" s="1">
        <v>2.0776495278069254E-2</v>
      </c>
      <c r="G69" s="1">
        <v>0.16663168940188877</v>
      </c>
      <c r="H69" s="1">
        <v>7.0514165792235045E-2</v>
      </c>
      <c r="I69" s="1">
        <v>1.3641133263378805E-2</v>
      </c>
      <c r="J69" s="1">
        <v>1.8467995802728225E-2</v>
      </c>
      <c r="K69" s="1">
        <v>0.17775445960125918</v>
      </c>
      <c r="L69" s="1">
        <v>4.6169989506820563E-3</v>
      </c>
      <c r="M69" s="1">
        <v>0.99999999999999989</v>
      </c>
      <c r="N69" s="2">
        <v>4765</v>
      </c>
      <c r="P69" s="1">
        <v>0.51300000000000001</v>
      </c>
      <c r="Q69" s="1">
        <v>0.54200000000000004</v>
      </c>
      <c r="R69" s="1">
        <v>1.7000000000000001E-2</v>
      </c>
      <c r="S69" s="1">
        <v>2.5000000000000001E-2</v>
      </c>
      <c r="T69" s="1">
        <v>0.156</v>
      </c>
      <c r="U69" s="1">
        <v>0.17699999999999999</v>
      </c>
      <c r="V69" s="1">
        <v>6.4000000000000001E-2</v>
      </c>
      <c r="W69" s="1">
        <v>7.8E-2</v>
      </c>
      <c r="X69" s="1">
        <v>1.0999999999999999E-2</v>
      </c>
      <c r="Y69" s="1">
        <v>1.7000000000000001E-2</v>
      </c>
      <c r="Z69" s="1">
        <v>1.4999999999999999E-2</v>
      </c>
      <c r="AA69" s="1">
        <v>2.3E-2</v>
      </c>
      <c r="AB69" s="1">
        <v>0.16700000000000001</v>
      </c>
      <c r="AC69" s="1">
        <v>0.189</v>
      </c>
      <c r="AD69" s="1">
        <v>3.0000000000000001E-3</v>
      </c>
      <c r="AE69" s="1">
        <v>7.0000000000000001E-3</v>
      </c>
    </row>
    <row r="70" spans="1:31" x14ac:dyDescent="0.25">
      <c r="A70" t="str">
        <f>B70&amp;VLOOKUP(D70, Lookups!$E$2:$F$8,2,FALSE)&amp;C70</f>
        <v>NSCLCEmergency presentationEarly</v>
      </c>
      <c r="B70" t="s">
        <v>19</v>
      </c>
      <c r="C70" t="s">
        <v>38</v>
      </c>
      <c r="D70" t="s">
        <v>33</v>
      </c>
      <c r="E70" s="1">
        <v>0.17784322609877662</v>
      </c>
      <c r="F70" s="1">
        <v>1.6311735387403714E-2</v>
      </c>
      <c r="G70" s="1">
        <v>0.18849116447666517</v>
      </c>
      <c r="H70" s="1">
        <v>3.3529678296329857E-2</v>
      </c>
      <c r="I70" s="1">
        <v>7.0231082917988222E-3</v>
      </c>
      <c r="J70" s="1">
        <v>1.3819664703217037E-2</v>
      </c>
      <c r="K70" s="1">
        <v>0.56003624830086085</v>
      </c>
      <c r="L70" s="1">
        <v>2.9451744449478933E-3</v>
      </c>
      <c r="M70" s="1">
        <v>1</v>
      </c>
      <c r="N70" s="2">
        <v>4414</v>
      </c>
      <c r="P70" s="1">
        <v>0.16700000000000001</v>
      </c>
      <c r="Q70" s="1">
        <v>0.189</v>
      </c>
      <c r="R70" s="1">
        <v>1.2999999999999999E-2</v>
      </c>
      <c r="S70" s="1">
        <v>0.02</v>
      </c>
      <c r="T70" s="1">
        <v>0.17699999999999999</v>
      </c>
      <c r="U70" s="1">
        <v>0.2</v>
      </c>
      <c r="V70" s="1">
        <v>2.9000000000000001E-2</v>
      </c>
      <c r="W70" s="1">
        <v>3.9E-2</v>
      </c>
      <c r="X70" s="1">
        <v>5.0000000000000001E-3</v>
      </c>
      <c r="Y70" s="1">
        <v>0.01</v>
      </c>
      <c r="Z70" s="1">
        <v>1.0999999999999999E-2</v>
      </c>
      <c r="AA70" s="1">
        <v>1.7999999999999999E-2</v>
      </c>
      <c r="AB70" s="1">
        <v>0.54500000000000004</v>
      </c>
      <c r="AC70" s="1">
        <v>0.57499999999999996</v>
      </c>
      <c r="AD70" s="1">
        <v>2E-3</v>
      </c>
      <c r="AE70" s="1">
        <v>5.0000000000000001E-3</v>
      </c>
    </row>
    <row r="71" spans="1:31" x14ac:dyDescent="0.25">
      <c r="A71" t="str">
        <f>B71&amp;VLOOKUP(D71, Lookups!$E$2:$F$8,2,FALSE)&amp;C71</f>
        <v>NSCLCUnknownEarly</v>
      </c>
      <c r="B71" t="s">
        <v>19</v>
      </c>
      <c r="C71" t="s">
        <v>38</v>
      </c>
      <c r="D71" t="s">
        <v>4</v>
      </c>
      <c r="E71" s="1">
        <v>0.23255813953488372</v>
      </c>
      <c r="F71" s="1">
        <v>2.3255813953488372E-2</v>
      </c>
      <c r="G71" s="1">
        <v>0.16795865633074936</v>
      </c>
      <c r="H71" s="1">
        <v>5.6847545219638244E-2</v>
      </c>
      <c r="I71" s="1">
        <v>1.0335917312661499E-2</v>
      </c>
      <c r="J71" s="1">
        <v>1.2919896640826873E-2</v>
      </c>
      <c r="K71" s="1">
        <v>0.49612403100775193</v>
      </c>
      <c r="L71" s="1">
        <v>0</v>
      </c>
      <c r="M71" s="1">
        <v>1</v>
      </c>
      <c r="N71" s="2">
        <v>387</v>
      </c>
      <c r="P71" s="1">
        <v>0.193</v>
      </c>
      <c r="Q71" s="1">
        <v>0.27700000000000002</v>
      </c>
      <c r="R71" s="1">
        <v>1.2E-2</v>
      </c>
      <c r="S71" s="1">
        <v>4.3999999999999997E-2</v>
      </c>
      <c r="T71" s="1">
        <v>0.13400000000000001</v>
      </c>
      <c r="U71" s="1">
        <v>0.20799999999999999</v>
      </c>
      <c r="V71" s="1">
        <v>3.7999999999999999E-2</v>
      </c>
      <c r="W71" s="1">
        <v>8.5000000000000006E-2</v>
      </c>
      <c r="X71" s="1">
        <v>4.0000000000000001E-3</v>
      </c>
      <c r="Y71" s="1">
        <v>2.5999999999999999E-2</v>
      </c>
      <c r="Z71" s="1">
        <v>6.0000000000000001E-3</v>
      </c>
      <c r="AA71" s="1">
        <v>0.03</v>
      </c>
      <c r="AB71" s="1">
        <v>0.44700000000000001</v>
      </c>
      <c r="AC71" s="1">
        <v>0.54600000000000004</v>
      </c>
      <c r="AD71" s="1">
        <v>0</v>
      </c>
      <c r="AE71" s="1">
        <v>0.01</v>
      </c>
    </row>
    <row r="72" spans="1:31" x14ac:dyDescent="0.25">
      <c r="A72" t="str">
        <f>B72&amp;VLOOKUP(D72, Lookups!$E$2:$F$8,2,FALSE)&amp;C72</f>
        <v>NSCLCAll RoutesEarly</v>
      </c>
      <c r="B72" t="s">
        <v>19</v>
      </c>
      <c r="C72" t="s">
        <v>38</v>
      </c>
      <c r="D72" t="s">
        <v>34</v>
      </c>
      <c r="E72" s="1">
        <v>0.41209506755656844</v>
      </c>
      <c r="F72" s="1">
        <v>2.0022790167670518E-2</v>
      </c>
      <c r="G72" s="1">
        <v>0.1841119973954094</v>
      </c>
      <c r="H72" s="1">
        <v>8.2939931629496991E-2</v>
      </c>
      <c r="I72" s="1">
        <v>1.3389223506430082E-2</v>
      </c>
      <c r="J72" s="1">
        <v>2.2220413478756307E-2</v>
      </c>
      <c r="K72" s="1">
        <v>0.25956373107602149</v>
      </c>
      <c r="L72" s="1">
        <v>5.6568451896467521E-3</v>
      </c>
      <c r="M72" s="1">
        <v>0.99999999999999989</v>
      </c>
      <c r="N72" s="2">
        <v>24572</v>
      </c>
      <c r="P72" s="1">
        <v>0.40600000000000003</v>
      </c>
      <c r="Q72" s="1">
        <v>0.41799999999999998</v>
      </c>
      <c r="R72" s="1">
        <v>1.7999999999999999E-2</v>
      </c>
      <c r="S72" s="1">
        <v>2.1999999999999999E-2</v>
      </c>
      <c r="T72" s="1">
        <v>0.17899999999999999</v>
      </c>
      <c r="U72" s="1">
        <v>0.189</v>
      </c>
      <c r="V72" s="1">
        <v>0.08</v>
      </c>
      <c r="W72" s="1">
        <v>8.5999999999999993E-2</v>
      </c>
      <c r="X72" s="1">
        <v>1.2E-2</v>
      </c>
      <c r="Y72" s="1">
        <v>1.4999999999999999E-2</v>
      </c>
      <c r="Z72" s="1">
        <v>0.02</v>
      </c>
      <c r="AA72" s="1">
        <v>2.4E-2</v>
      </c>
      <c r="AB72" s="1">
        <v>0.254</v>
      </c>
      <c r="AC72" s="1">
        <v>0.26500000000000001</v>
      </c>
      <c r="AD72" s="1">
        <v>5.0000000000000001E-3</v>
      </c>
      <c r="AE72" s="1">
        <v>7.0000000000000001E-3</v>
      </c>
    </row>
    <row r="73" spans="1:31" x14ac:dyDescent="0.25">
      <c r="A73" t="str">
        <f>B73&amp;VLOOKUP(D73, Lookups!$E$2:$F$8,2,FALSE)&amp;C73</f>
        <v>NSCLCScreen detectedLate</v>
      </c>
      <c r="B73" t="s">
        <v>19</v>
      </c>
      <c r="C73" t="s">
        <v>39</v>
      </c>
      <c r="D73" t="s">
        <v>30</v>
      </c>
      <c r="E73" s="1" t="s">
        <v>137</v>
      </c>
      <c r="F73" s="1" t="s">
        <v>137</v>
      </c>
      <c r="G73" s="1" t="s">
        <v>137</v>
      </c>
      <c r="H73" s="1" t="s">
        <v>137</v>
      </c>
      <c r="I73" s="1" t="s">
        <v>137</v>
      </c>
      <c r="J73" s="1" t="s">
        <v>137</v>
      </c>
      <c r="K73" s="1" t="s">
        <v>137</v>
      </c>
      <c r="L73" s="1" t="s">
        <v>137</v>
      </c>
      <c r="M73" s="1">
        <v>0</v>
      </c>
      <c r="N73" s="2">
        <v>0</v>
      </c>
      <c r="P73" s="1"/>
      <c r="Q73" s="1"/>
      <c r="R73" s="1"/>
      <c r="S73" s="1"/>
      <c r="T73" s="1"/>
      <c r="U73" s="1"/>
      <c r="V73" s="1"/>
      <c r="W73" s="1"/>
      <c r="X73" s="1"/>
      <c r="Y73" s="1"/>
      <c r="Z73" s="1"/>
      <c r="AA73" s="1"/>
      <c r="AB73" s="1"/>
      <c r="AC73" s="1"/>
      <c r="AD73" s="1"/>
      <c r="AE73" s="1"/>
    </row>
    <row r="74" spans="1:31" x14ac:dyDescent="0.25">
      <c r="A74" t="str">
        <f>B74&amp;VLOOKUP(D74, Lookups!$E$2:$F$8,2,FALSE)&amp;C74</f>
        <v>NSCLCTwo Week WaitLate</v>
      </c>
      <c r="B74" t="s">
        <v>19</v>
      </c>
      <c r="C74" t="s">
        <v>39</v>
      </c>
      <c r="D74" t="s">
        <v>31</v>
      </c>
      <c r="E74" s="1">
        <v>2.0028312273895035E-2</v>
      </c>
      <c r="F74" s="1">
        <v>0.25654065957112149</v>
      </c>
      <c r="G74" s="1">
        <v>0.19074083783358675</v>
      </c>
      <c r="H74" s="1">
        <v>3.3817438263513869E-2</v>
      </c>
      <c r="I74" s="1">
        <v>3.8273999895139725E-3</v>
      </c>
      <c r="J74" s="1">
        <v>0.22272322130760761</v>
      </c>
      <c r="K74" s="1">
        <v>0.26781313899229275</v>
      </c>
      <c r="L74" s="1">
        <v>4.5089917684685158E-3</v>
      </c>
      <c r="M74" s="1">
        <v>1</v>
      </c>
      <c r="N74" s="2">
        <v>19073</v>
      </c>
      <c r="P74" s="1">
        <v>1.7999999999999999E-2</v>
      </c>
      <c r="Q74" s="1">
        <v>2.1999999999999999E-2</v>
      </c>
      <c r="R74" s="1">
        <v>0.25</v>
      </c>
      <c r="S74" s="1">
        <v>0.26300000000000001</v>
      </c>
      <c r="T74" s="1">
        <v>0.185</v>
      </c>
      <c r="U74" s="1">
        <v>0.19600000000000001</v>
      </c>
      <c r="V74" s="1">
        <v>3.1E-2</v>
      </c>
      <c r="W74" s="1">
        <v>3.5999999999999997E-2</v>
      </c>
      <c r="X74" s="1">
        <v>3.0000000000000001E-3</v>
      </c>
      <c r="Y74" s="1">
        <v>5.0000000000000001E-3</v>
      </c>
      <c r="Z74" s="1">
        <v>0.217</v>
      </c>
      <c r="AA74" s="1">
        <v>0.22900000000000001</v>
      </c>
      <c r="AB74" s="1">
        <v>0.26200000000000001</v>
      </c>
      <c r="AC74" s="1">
        <v>0.27400000000000002</v>
      </c>
      <c r="AD74" s="1">
        <v>4.0000000000000001E-3</v>
      </c>
      <c r="AE74" s="1">
        <v>6.0000000000000001E-3</v>
      </c>
    </row>
    <row r="75" spans="1:31" x14ac:dyDescent="0.25">
      <c r="A75" t="str">
        <f>B75&amp;VLOOKUP(D75, Lookups!$E$2:$F$8,2,FALSE)&amp;C75</f>
        <v>NSCLCGP referralLate</v>
      </c>
      <c r="B75" t="s">
        <v>19</v>
      </c>
      <c r="C75" t="s">
        <v>39</v>
      </c>
      <c r="D75" t="s">
        <v>2</v>
      </c>
      <c r="E75" s="1">
        <v>2.4961479198767334E-2</v>
      </c>
      <c r="F75" s="1">
        <v>0.18805855161787366</v>
      </c>
      <c r="G75" s="1">
        <v>0.20023112480739599</v>
      </c>
      <c r="H75" s="1">
        <v>2.9661016949152543E-2</v>
      </c>
      <c r="I75" s="1">
        <v>3.1587057010785823E-3</v>
      </c>
      <c r="J75" s="1">
        <v>0.15092449922958398</v>
      </c>
      <c r="K75" s="1">
        <v>0.39853620955315872</v>
      </c>
      <c r="L75" s="1">
        <v>4.4684129429892142E-3</v>
      </c>
      <c r="M75" s="1">
        <v>1</v>
      </c>
      <c r="N75" s="2">
        <v>12980</v>
      </c>
      <c r="P75" s="1">
        <v>2.1999999999999999E-2</v>
      </c>
      <c r="Q75" s="1">
        <v>2.8000000000000001E-2</v>
      </c>
      <c r="R75" s="1">
        <v>0.18099999999999999</v>
      </c>
      <c r="S75" s="1">
        <v>0.19500000000000001</v>
      </c>
      <c r="T75" s="1">
        <v>0.193</v>
      </c>
      <c r="U75" s="1">
        <v>0.20699999999999999</v>
      </c>
      <c r="V75" s="1">
        <v>2.7E-2</v>
      </c>
      <c r="W75" s="1">
        <v>3.3000000000000002E-2</v>
      </c>
      <c r="X75" s="1">
        <v>2E-3</v>
      </c>
      <c r="Y75" s="1">
        <v>4.0000000000000001E-3</v>
      </c>
      <c r="Z75" s="1">
        <v>0.14499999999999999</v>
      </c>
      <c r="AA75" s="1">
        <v>0.157</v>
      </c>
      <c r="AB75" s="1">
        <v>0.39</v>
      </c>
      <c r="AC75" s="1">
        <v>0.40699999999999997</v>
      </c>
      <c r="AD75" s="1">
        <v>3.0000000000000001E-3</v>
      </c>
      <c r="AE75" s="1">
        <v>6.0000000000000001E-3</v>
      </c>
    </row>
    <row r="76" spans="1:31" x14ac:dyDescent="0.25">
      <c r="A76" t="str">
        <f>B76&amp;VLOOKUP(D76, Lookups!$E$2:$F$8,2,FALSE)&amp;C76</f>
        <v>NSCLCIP &amp; OPLate</v>
      </c>
      <c r="B76" t="s">
        <v>19</v>
      </c>
      <c r="C76" t="s">
        <v>39</v>
      </c>
      <c r="D76" t="s">
        <v>32</v>
      </c>
      <c r="E76" s="1">
        <v>3.1757233592095979E-2</v>
      </c>
      <c r="F76" s="1">
        <v>0.1998588567395907</v>
      </c>
      <c r="G76" s="1">
        <v>0.19505998588567397</v>
      </c>
      <c r="H76" s="1">
        <v>3.6556104446012705E-2</v>
      </c>
      <c r="I76" s="1">
        <v>4.6577275935074103E-3</v>
      </c>
      <c r="J76" s="1">
        <v>0.18320395201129147</v>
      </c>
      <c r="K76" s="1">
        <v>0.34368383909668315</v>
      </c>
      <c r="L76" s="1">
        <v>5.2223006351446721E-3</v>
      </c>
      <c r="M76" s="1">
        <v>1</v>
      </c>
      <c r="N76" s="2">
        <v>7085</v>
      </c>
      <c r="P76" s="1">
        <v>2.8000000000000001E-2</v>
      </c>
      <c r="Q76" s="1">
        <v>3.5999999999999997E-2</v>
      </c>
      <c r="R76" s="1">
        <v>0.191</v>
      </c>
      <c r="S76" s="1">
        <v>0.20899999999999999</v>
      </c>
      <c r="T76" s="1">
        <v>0.186</v>
      </c>
      <c r="U76" s="1">
        <v>0.20399999999999999</v>
      </c>
      <c r="V76" s="1">
        <v>3.2000000000000001E-2</v>
      </c>
      <c r="W76" s="1">
        <v>4.1000000000000002E-2</v>
      </c>
      <c r="X76" s="1">
        <v>3.0000000000000001E-3</v>
      </c>
      <c r="Y76" s="1">
        <v>7.0000000000000001E-3</v>
      </c>
      <c r="Z76" s="1">
        <v>0.17399999999999999</v>
      </c>
      <c r="AA76" s="1">
        <v>0.192</v>
      </c>
      <c r="AB76" s="1">
        <v>0.33300000000000002</v>
      </c>
      <c r="AC76" s="1">
        <v>0.35499999999999998</v>
      </c>
      <c r="AD76" s="1">
        <v>4.0000000000000001E-3</v>
      </c>
      <c r="AE76" s="1">
        <v>7.0000000000000001E-3</v>
      </c>
    </row>
    <row r="77" spans="1:31" x14ac:dyDescent="0.25">
      <c r="A77" t="str">
        <f>B77&amp;VLOOKUP(D77, Lookups!$E$2:$F$8,2,FALSE)&amp;C77</f>
        <v>NSCLCEmergency presentationLate</v>
      </c>
      <c r="B77" t="s">
        <v>19</v>
      </c>
      <c r="C77" t="s">
        <v>39</v>
      </c>
      <c r="D77" t="s">
        <v>33</v>
      </c>
      <c r="E77" s="1">
        <v>3.7999757448356711E-3</v>
      </c>
      <c r="F77" s="1">
        <v>8.4973925698346608E-2</v>
      </c>
      <c r="G77" s="1">
        <v>0.15167562760237702</v>
      </c>
      <c r="H77" s="1">
        <v>4.2042284836479767E-3</v>
      </c>
      <c r="I77" s="1">
        <v>1.0510571209119942E-3</v>
      </c>
      <c r="J77" s="1">
        <v>6.2537898694263655E-2</v>
      </c>
      <c r="K77" s="1">
        <v>0.69066580426082391</v>
      </c>
      <c r="L77" s="1">
        <v>1.0914823947932248E-3</v>
      </c>
      <c r="M77" s="1">
        <v>1</v>
      </c>
      <c r="N77" s="2">
        <v>24737</v>
      </c>
      <c r="P77" s="1">
        <v>3.0000000000000001E-3</v>
      </c>
      <c r="Q77" s="1">
        <v>5.0000000000000001E-3</v>
      </c>
      <c r="R77" s="1">
        <v>8.2000000000000003E-2</v>
      </c>
      <c r="S77" s="1">
        <v>8.8999999999999996E-2</v>
      </c>
      <c r="T77" s="1">
        <v>0.14699999999999999</v>
      </c>
      <c r="U77" s="1">
        <v>0.156</v>
      </c>
      <c r="V77" s="1">
        <v>3.0000000000000001E-3</v>
      </c>
      <c r="W77" s="1">
        <v>5.0000000000000001E-3</v>
      </c>
      <c r="X77" s="1">
        <v>1E-3</v>
      </c>
      <c r="Y77" s="1">
        <v>2E-3</v>
      </c>
      <c r="Z77" s="1">
        <v>0.06</v>
      </c>
      <c r="AA77" s="1">
        <v>6.6000000000000003E-2</v>
      </c>
      <c r="AB77" s="1">
        <v>0.68500000000000005</v>
      </c>
      <c r="AC77" s="1">
        <v>0.69599999999999995</v>
      </c>
      <c r="AD77" s="1">
        <v>1E-3</v>
      </c>
      <c r="AE77" s="1">
        <v>2E-3</v>
      </c>
    </row>
    <row r="78" spans="1:31" x14ac:dyDescent="0.25">
      <c r="A78" t="str">
        <f>B78&amp;VLOOKUP(D78, Lookups!$E$2:$F$8,2,FALSE)&amp;C78</f>
        <v>NSCLCUnknownLate</v>
      </c>
      <c r="B78" t="s">
        <v>19</v>
      </c>
      <c r="C78" t="s">
        <v>39</v>
      </c>
      <c r="D78" t="s">
        <v>4</v>
      </c>
      <c r="E78" s="1">
        <v>8.6682427107959027E-3</v>
      </c>
      <c r="F78" s="1">
        <v>0.13159968479117415</v>
      </c>
      <c r="G78" s="1">
        <v>0.12135539795114263</v>
      </c>
      <c r="H78" s="1">
        <v>8.6682427107959027E-3</v>
      </c>
      <c r="I78" s="1">
        <v>3.1520882584712374E-3</v>
      </c>
      <c r="J78" s="1">
        <v>7.7226162332545312E-2</v>
      </c>
      <c r="K78" s="1">
        <v>0.64775413711583929</v>
      </c>
      <c r="L78" s="1">
        <v>1.5760441292356187E-3</v>
      </c>
      <c r="M78" s="1">
        <v>1</v>
      </c>
      <c r="N78" s="2">
        <v>1269</v>
      </c>
      <c r="P78" s="1">
        <v>5.0000000000000001E-3</v>
      </c>
      <c r="Q78" s="1">
        <v>1.4999999999999999E-2</v>
      </c>
      <c r="R78" s="1">
        <v>0.114</v>
      </c>
      <c r="S78" s="1">
        <v>0.151</v>
      </c>
      <c r="T78" s="1">
        <v>0.105</v>
      </c>
      <c r="U78" s="1">
        <v>0.14000000000000001</v>
      </c>
      <c r="V78" s="1">
        <v>5.0000000000000001E-3</v>
      </c>
      <c r="W78" s="1">
        <v>1.4999999999999999E-2</v>
      </c>
      <c r="X78" s="1">
        <v>1E-3</v>
      </c>
      <c r="Y78" s="1">
        <v>8.0000000000000002E-3</v>
      </c>
      <c r="Z78" s="1">
        <v>6.4000000000000001E-2</v>
      </c>
      <c r="AA78" s="1">
        <v>9.2999999999999999E-2</v>
      </c>
      <c r="AB78" s="1">
        <v>0.621</v>
      </c>
      <c r="AC78" s="1">
        <v>0.67400000000000004</v>
      </c>
      <c r="AD78" s="1">
        <v>0</v>
      </c>
      <c r="AE78" s="1">
        <v>6.0000000000000001E-3</v>
      </c>
    </row>
    <row r="79" spans="1:31" x14ac:dyDescent="0.25">
      <c r="A79" t="str">
        <f>B79&amp;VLOOKUP(D79, Lookups!$E$2:$F$8,2,FALSE)&amp;C79</f>
        <v>NSCLCAll RoutesLate</v>
      </c>
      <c r="B79" t="s">
        <v>19</v>
      </c>
      <c r="C79" t="s">
        <v>39</v>
      </c>
      <c r="D79" t="s">
        <v>34</v>
      </c>
      <c r="E79" s="1">
        <v>1.5903229767898808E-2</v>
      </c>
      <c r="F79" s="1">
        <v>0.16914834827459169</v>
      </c>
      <c r="G79" s="1">
        <v>0.17691575586393221</v>
      </c>
      <c r="H79" s="1">
        <v>2.1552253469237382E-2</v>
      </c>
      <c r="I79" s="1">
        <v>2.7170575954807812E-3</v>
      </c>
      <c r="J79" s="1">
        <v>0.14045806213926071</v>
      </c>
      <c r="K79" s="1">
        <v>0.47008166523394329</v>
      </c>
      <c r="L79" s="1">
        <v>3.223627655655164E-3</v>
      </c>
      <c r="M79" s="1">
        <v>1</v>
      </c>
      <c r="N79" s="2">
        <v>65144</v>
      </c>
      <c r="P79" s="1">
        <v>1.4999999999999999E-2</v>
      </c>
      <c r="Q79" s="1">
        <v>1.7000000000000001E-2</v>
      </c>
      <c r="R79" s="1">
        <v>0.16600000000000001</v>
      </c>
      <c r="S79" s="1">
        <v>0.17199999999999999</v>
      </c>
      <c r="T79" s="1">
        <v>0.17399999999999999</v>
      </c>
      <c r="U79" s="1">
        <v>0.18</v>
      </c>
      <c r="V79" s="1">
        <v>0.02</v>
      </c>
      <c r="W79" s="1">
        <v>2.3E-2</v>
      </c>
      <c r="X79" s="1">
        <v>2E-3</v>
      </c>
      <c r="Y79" s="1">
        <v>3.0000000000000001E-3</v>
      </c>
      <c r="Z79" s="1">
        <v>0.13800000000000001</v>
      </c>
      <c r="AA79" s="1">
        <v>0.14299999999999999</v>
      </c>
      <c r="AB79" s="1">
        <v>0.46600000000000003</v>
      </c>
      <c r="AC79" s="1">
        <v>0.47399999999999998</v>
      </c>
      <c r="AD79" s="1">
        <v>3.0000000000000001E-3</v>
      </c>
      <c r="AE79" s="1">
        <v>4.0000000000000001E-3</v>
      </c>
    </row>
    <row r="80" spans="1:31" x14ac:dyDescent="0.25">
      <c r="A80" t="str">
        <f>B80&amp;VLOOKUP(D80, Lookups!$E$2:$F$8,2,FALSE)&amp;C80</f>
        <v>NSCLCScreen detectedUnknown</v>
      </c>
      <c r="B80" t="s">
        <v>19</v>
      </c>
      <c r="C80" t="s">
        <v>4</v>
      </c>
      <c r="D80" t="s">
        <v>30</v>
      </c>
      <c r="E80" s="1" t="s">
        <v>137</v>
      </c>
      <c r="F80" s="1" t="s">
        <v>137</v>
      </c>
      <c r="G80" s="1" t="s">
        <v>137</v>
      </c>
      <c r="H80" s="1" t="s">
        <v>137</v>
      </c>
      <c r="I80" s="1" t="s">
        <v>137</v>
      </c>
      <c r="J80" s="1" t="s">
        <v>137</v>
      </c>
      <c r="K80" s="1" t="s">
        <v>137</v>
      </c>
      <c r="L80" s="1" t="s">
        <v>137</v>
      </c>
      <c r="M80" s="1">
        <v>0</v>
      </c>
      <c r="N80" s="2">
        <v>0</v>
      </c>
      <c r="P80" s="1"/>
      <c r="Q80" s="1"/>
      <c r="R80" s="1"/>
      <c r="S80" s="1"/>
      <c r="T80" s="1"/>
      <c r="U80" s="1"/>
      <c r="V80" s="1"/>
      <c r="W80" s="1"/>
      <c r="X80" s="1"/>
      <c r="Y80" s="1"/>
      <c r="Z80" s="1"/>
      <c r="AA80" s="1"/>
      <c r="AB80" s="1"/>
      <c r="AC80" s="1"/>
      <c r="AD80" s="1"/>
      <c r="AE80" s="1"/>
    </row>
    <row r="81" spans="1:31" x14ac:dyDescent="0.25">
      <c r="A81" t="str">
        <f>B81&amp;VLOOKUP(D81, Lookups!$E$2:$F$8,2,FALSE)&amp;C81</f>
        <v>NSCLCTwo Week WaitUnknown</v>
      </c>
      <c r="B81" t="s">
        <v>19</v>
      </c>
      <c r="C81" t="s">
        <v>4</v>
      </c>
      <c r="D81" t="s">
        <v>31</v>
      </c>
      <c r="E81" s="1">
        <v>9.9244875943905075E-2</v>
      </c>
      <c r="F81" s="1">
        <v>0.1499460625674218</v>
      </c>
      <c r="G81" s="1">
        <v>0.14455231930960086</v>
      </c>
      <c r="H81" s="1">
        <v>2.696871628910464E-2</v>
      </c>
      <c r="I81" s="1">
        <v>2.1574973031283709E-3</v>
      </c>
      <c r="J81" s="1">
        <v>0.10571736785329018</v>
      </c>
      <c r="K81" s="1">
        <v>0.4703344120819849</v>
      </c>
      <c r="L81" s="1">
        <v>1.0787486515641855E-3</v>
      </c>
      <c r="M81" s="1">
        <v>1</v>
      </c>
      <c r="N81" s="2">
        <v>927</v>
      </c>
      <c r="P81" s="1">
        <v>8.2000000000000003E-2</v>
      </c>
      <c r="Q81" s="1">
        <v>0.12</v>
      </c>
      <c r="R81" s="1">
        <v>0.128</v>
      </c>
      <c r="S81" s="1">
        <v>0.17399999999999999</v>
      </c>
      <c r="T81" s="1">
        <v>0.123</v>
      </c>
      <c r="U81" s="1">
        <v>0.16900000000000001</v>
      </c>
      <c r="V81" s="1">
        <v>1.7999999999999999E-2</v>
      </c>
      <c r="W81" s="1">
        <v>0.04</v>
      </c>
      <c r="X81" s="1">
        <v>1E-3</v>
      </c>
      <c r="Y81" s="1">
        <v>8.0000000000000002E-3</v>
      </c>
      <c r="Z81" s="1">
        <v>8.7999999999999995E-2</v>
      </c>
      <c r="AA81" s="1">
        <v>0.127</v>
      </c>
      <c r="AB81" s="1">
        <v>0.438</v>
      </c>
      <c r="AC81" s="1">
        <v>0.503</v>
      </c>
      <c r="AD81" s="1">
        <v>0</v>
      </c>
      <c r="AE81" s="1">
        <v>6.0000000000000001E-3</v>
      </c>
    </row>
    <row r="82" spans="1:31" x14ac:dyDescent="0.25">
      <c r="A82" t="str">
        <f>B82&amp;VLOOKUP(D82, Lookups!$E$2:$F$8,2,FALSE)&amp;C82</f>
        <v>NSCLCGP referralUnknown</v>
      </c>
      <c r="B82" t="s">
        <v>19</v>
      </c>
      <c r="C82" t="s">
        <v>4</v>
      </c>
      <c r="D82" t="s">
        <v>2</v>
      </c>
      <c r="E82" s="1">
        <v>0.10074013157894737</v>
      </c>
      <c r="F82" s="1">
        <v>5.8388157894736843E-2</v>
      </c>
      <c r="G82" s="1">
        <v>8.8815789473684209E-2</v>
      </c>
      <c r="H82" s="1">
        <v>1.1924342105263159E-2</v>
      </c>
      <c r="I82" s="1">
        <v>2.8782894736842104E-3</v>
      </c>
      <c r="J82" s="1">
        <v>3.2894736842105261E-2</v>
      </c>
      <c r="K82" s="1">
        <v>0.70271381578947367</v>
      </c>
      <c r="L82" s="1">
        <v>1.6447368421052631E-3</v>
      </c>
      <c r="M82" s="1">
        <v>1</v>
      </c>
      <c r="N82" s="2">
        <v>2432</v>
      </c>
      <c r="P82" s="1">
        <v>8.8999999999999996E-2</v>
      </c>
      <c r="Q82" s="1">
        <v>0.113</v>
      </c>
      <c r="R82" s="1">
        <v>0.05</v>
      </c>
      <c r="S82" s="1">
        <v>6.8000000000000005E-2</v>
      </c>
      <c r="T82" s="1">
        <v>7.8E-2</v>
      </c>
      <c r="U82" s="1">
        <v>0.10100000000000001</v>
      </c>
      <c r="V82" s="1">
        <v>8.0000000000000002E-3</v>
      </c>
      <c r="W82" s="1">
        <v>1.7000000000000001E-2</v>
      </c>
      <c r="X82" s="1">
        <v>1E-3</v>
      </c>
      <c r="Y82" s="1">
        <v>6.0000000000000001E-3</v>
      </c>
      <c r="Z82" s="1">
        <v>2.7E-2</v>
      </c>
      <c r="AA82" s="1">
        <v>4.1000000000000002E-2</v>
      </c>
      <c r="AB82" s="1">
        <v>0.68400000000000005</v>
      </c>
      <c r="AC82" s="1">
        <v>0.72099999999999997</v>
      </c>
      <c r="AD82" s="1">
        <v>1E-3</v>
      </c>
      <c r="AE82" s="1">
        <v>4.0000000000000001E-3</v>
      </c>
    </row>
    <row r="83" spans="1:31" x14ac:dyDescent="0.25">
      <c r="A83" t="str">
        <f>B83&amp;VLOOKUP(D83, Lookups!$E$2:$F$8,2,FALSE)&amp;C83</f>
        <v>NSCLCIP &amp; OPUnknown</v>
      </c>
      <c r="B83" t="s">
        <v>19</v>
      </c>
      <c r="C83" t="s">
        <v>4</v>
      </c>
      <c r="D83" t="s">
        <v>32</v>
      </c>
      <c r="E83" s="1">
        <v>0.17083631165117941</v>
      </c>
      <c r="F83" s="1">
        <v>5.1465332380271622E-2</v>
      </c>
      <c r="G83" s="1">
        <v>7.7912794853466763E-2</v>
      </c>
      <c r="H83" s="1">
        <v>1.5010721944245889E-2</v>
      </c>
      <c r="I83" s="1">
        <v>7.1479628305932807E-3</v>
      </c>
      <c r="J83" s="1">
        <v>2.5732666190135811E-2</v>
      </c>
      <c r="K83" s="1">
        <v>0.64974982130092929</v>
      </c>
      <c r="L83" s="1">
        <v>2.1443888491779841E-3</v>
      </c>
      <c r="M83" s="1">
        <v>1</v>
      </c>
      <c r="N83" s="2">
        <v>1399</v>
      </c>
      <c r="P83" s="1">
        <v>0.152</v>
      </c>
      <c r="Q83" s="1">
        <v>0.191</v>
      </c>
      <c r="R83" s="1">
        <v>4.1000000000000002E-2</v>
      </c>
      <c r="S83" s="1">
        <v>6.4000000000000001E-2</v>
      </c>
      <c r="T83" s="1">
        <v>6.5000000000000002E-2</v>
      </c>
      <c r="U83" s="1">
        <v>9.2999999999999999E-2</v>
      </c>
      <c r="V83" s="1">
        <v>0.01</v>
      </c>
      <c r="W83" s="1">
        <v>2.3E-2</v>
      </c>
      <c r="X83" s="1">
        <v>4.0000000000000001E-3</v>
      </c>
      <c r="Y83" s="1">
        <v>1.2999999999999999E-2</v>
      </c>
      <c r="Z83" s="1">
        <v>1.9E-2</v>
      </c>
      <c r="AA83" s="1">
        <v>3.5000000000000003E-2</v>
      </c>
      <c r="AB83" s="1">
        <v>0.624</v>
      </c>
      <c r="AC83" s="1">
        <v>0.67400000000000004</v>
      </c>
      <c r="AD83" s="1">
        <v>1E-3</v>
      </c>
      <c r="AE83" s="1">
        <v>6.0000000000000001E-3</v>
      </c>
    </row>
    <row r="84" spans="1:31" x14ac:dyDescent="0.25">
      <c r="A84" t="str">
        <f>B84&amp;VLOOKUP(D84, Lookups!$E$2:$F$8,2,FALSE)&amp;C84</f>
        <v>NSCLCEmergency presentationUnknown</v>
      </c>
      <c r="B84" t="s">
        <v>19</v>
      </c>
      <c r="C84" t="s">
        <v>4</v>
      </c>
      <c r="D84" t="s">
        <v>33</v>
      </c>
      <c r="E84" s="1">
        <v>1.1555392516507704E-2</v>
      </c>
      <c r="F84" s="1">
        <v>1.669112252384446E-2</v>
      </c>
      <c r="G84" s="1">
        <v>3.9801907556859868E-2</v>
      </c>
      <c r="H84" s="1">
        <v>1.8341892883345561E-3</v>
      </c>
      <c r="I84" s="1">
        <v>9.1709464416727803E-4</v>
      </c>
      <c r="J84" s="1">
        <v>7.7035950110051358E-3</v>
      </c>
      <c r="K84" s="1">
        <v>0.92149669845928095</v>
      </c>
      <c r="L84" s="1">
        <v>0</v>
      </c>
      <c r="M84" s="1">
        <v>1</v>
      </c>
      <c r="N84" s="2">
        <v>5452</v>
      </c>
      <c r="P84" s="1">
        <v>8.9999999999999993E-3</v>
      </c>
      <c r="Q84" s="1">
        <v>1.4999999999999999E-2</v>
      </c>
      <c r="R84" s="1">
        <v>1.4E-2</v>
      </c>
      <c r="S84" s="1">
        <v>0.02</v>
      </c>
      <c r="T84" s="1">
        <v>3.5000000000000003E-2</v>
      </c>
      <c r="U84" s="1">
        <v>4.4999999999999998E-2</v>
      </c>
      <c r="V84" s="1">
        <v>1E-3</v>
      </c>
      <c r="W84" s="1">
        <v>3.0000000000000001E-3</v>
      </c>
      <c r="X84" s="1">
        <v>0</v>
      </c>
      <c r="Y84" s="1">
        <v>2E-3</v>
      </c>
      <c r="Z84" s="1">
        <v>6.0000000000000001E-3</v>
      </c>
      <c r="AA84" s="1">
        <v>0.01</v>
      </c>
      <c r="AB84" s="1">
        <v>0.91400000000000003</v>
      </c>
      <c r="AC84" s="1">
        <v>0.92800000000000005</v>
      </c>
      <c r="AD84" s="1">
        <v>0</v>
      </c>
      <c r="AE84" s="1">
        <v>1E-3</v>
      </c>
    </row>
    <row r="85" spans="1:31" x14ac:dyDescent="0.25">
      <c r="A85" t="str">
        <f>B85&amp;VLOOKUP(D85, Lookups!$E$2:$F$8,2,FALSE)&amp;C85</f>
        <v>NSCLCUnknownUnknown</v>
      </c>
      <c r="B85" t="s">
        <v>19</v>
      </c>
      <c r="C85" t="s">
        <v>4</v>
      </c>
      <c r="D85" t="s">
        <v>4</v>
      </c>
      <c r="E85" s="1">
        <v>3.4682080924855488E-2</v>
      </c>
      <c r="F85" s="1">
        <v>1.7341040462427744E-2</v>
      </c>
      <c r="G85" s="1">
        <v>2.0809248554913295E-2</v>
      </c>
      <c r="H85" s="1">
        <v>0</v>
      </c>
      <c r="I85" s="1">
        <v>1.1560693641618498E-3</v>
      </c>
      <c r="J85" s="1">
        <v>3.4682080924855491E-3</v>
      </c>
      <c r="K85" s="1">
        <v>0.92138728323699426</v>
      </c>
      <c r="L85" s="1">
        <v>1.1560693641618498E-3</v>
      </c>
      <c r="M85" s="1">
        <v>1</v>
      </c>
      <c r="N85" s="2">
        <v>865</v>
      </c>
      <c r="P85" s="1">
        <v>2.4E-2</v>
      </c>
      <c r="Q85" s="1">
        <v>4.9000000000000002E-2</v>
      </c>
      <c r="R85" s="1">
        <v>1.0999999999999999E-2</v>
      </c>
      <c r="S85" s="1">
        <v>2.8000000000000001E-2</v>
      </c>
      <c r="T85" s="1">
        <v>1.2999999999999999E-2</v>
      </c>
      <c r="U85" s="1">
        <v>3.3000000000000002E-2</v>
      </c>
      <c r="V85" s="1">
        <v>0</v>
      </c>
      <c r="W85" s="1">
        <v>4.0000000000000001E-3</v>
      </c>
      <c r="X85" s="1">
        <v>0</v>
      </c>
      <c r="Y85" s="1">
        <v>7.0000000000000001E-3</v>
      </c>
      <c r="Z85" s="1">
        <v>1E-3</v>
      </c>
      <c r="AA85" s="1">
        <v>0.01</v>
      </c>
      <c r="AB85" s="1">
        <v>0.90200000000000002</v>
      </c>
      <c r="AC85" s="1">
        <v>0.93799999999999994</v>
      </c>
      <c r="AD85" s="1">
        <v>0</v>
      </c>
      <c r="AE85" s="1">
        <v>7.0000000000000001E-3</v>
      </c>
    </row>
    <row r="86" spans="1:31" x14ac:dyDescent="0.25">
      <c r="A86" t="str">
        <f>B86&amp;VLOOKUP(D86, Lookups!$E$2:$F$8,2,FALSE)&amp;C86</f>
        <v>NSCLCAll RoutesUnknown</v>
      </c>
      <c r="B86" t="s">
        <v>19</v>
      </c>
      <c r="C86" t="s">
        <v>4</v>
      </c>
      <c r="D86" t="s">
        <v>34</v>
      </c>
      <c r="E86" s="1">
        <v>6.0406320541760719E-2</v>
      </c>
      <c r="F86" s="1">
        <v>4.1444695259593677E-2</v>
      </c>
      <c r="G86" s="1">
        <v>6.2663656884875851E-2</v>
      </c>
      <c r="H86" s="1">
        <v>7.6749435665914223E-3</v>
      </c>
      <c r="I86" s="1">
        <v>2.257336343115124E-3</v>
      </c>
      <c r="J86" s="1">
        <v>2.3386004514672685E-2</v>
      </c>
      <c r="K86" s="1">
        <v>0.80135440180586903</v>
      </c>
      <c r="L86" s="1">
        <v>8.1264108352144466E-4</v>
      </c>
      <c r="M86" s="1">
        <v>0.99999999999999989</v>
      </c>
      <c r="N86" s="2">
        <v>11075</v>
      </c>
      <c r="P86" s="1">
        <v>5.6000000000000001E-2</v>
      </c>
      <c r="Q86" s="1">
        <v>6.5000000000000002E-2</v>
      </c>
      <c r="R86" s="1">
        <v>3.7999999999999999E-2</v>
      </c>
      <c r="S86" s="1">
        <v>4.4999999999999998E-2</v>
      </c>
      <c r="T86" s="1">
        <v>5.8000000000000003E-2</v>
      </c>
      <c r="U86" s="1">
        <v>6.7000000000000004E-2</v>
      </c>
      <c r="V86" s="1">
        <v>6.0000000000000001E-3</v>
      </c>
      <c r="W86" s="1">
        <v>8.9999999999999993E-3</v>
      </c>
      <c r="X86" s="1">
        <v>2E-3</v>
      </c>
      <c r="Y86" s="1">
        <v>3.0000000000000001E-3</v>
      </c>
      <c r="Z86" s="1">
        <v>2.1000000000000001E-2</v>
      </c>
      <c r="AA86" s="1">
        <v>2.5999999999999999E-2</v>
      </c>
      <c r="AB86" s="1">
        <v>0.79400000000000004</v>
      </c>
      <c r="AC86" s="1">
        <v>0.80900000000000005</v>
      </c>
      <c r="AD86" s="1">
        <v>0</v>
      </c>
      <c r="AE86" s="1">
        <v>2E-3</v>
      </c>
    </row>
    <row r="87" spans="1:31" x14ac:dyDescent="0.25">
      <c r="A87" t="str">
        <f>B87&amp;VLOOKUP(D87, Lookups!$E$2:$F$8,2,FALSE)&amp;C87</f>
        <v>SCLCScreen detectedEarly</v>
      </c>
      <c r="B87" t="s">
        <v>20</v>
      </c>
      <c r="C87" t="s">
        <v>38</v>
      </c>
      <c r="D87" t="s">
        <v>30</v>
      </c>
      <c r="E87" s="1" t="s">
        <v>137</v>
      </c>
      <c r="F87" s="1" t="s">
        <v>137</v>
      </c>
      <c r="G87" s="1" t="s">
        <v>137</v>
      </c>
      <c r="H87" s="1" t="s">
        <v>137</v>
      </c>
      <c r="I87" s="1" t="s">
        <v>137</v>
      </c>
      <c r="J87" s="1" t="s">
        <v>137</v>
      </c>
      <c r="K87" s="1" t="s">
        <v>137</v>
      </c>
      <c r="L87" s="1" t="s">
        <v>137</v>
      </c>
      <c r="M87" s="1">
        <v>0</v>
      </c>
      <c r="N87" s="2">
        <v>0</v>
      </c>
      <c r="P87" s="1"/>
      <c r="Q87" s="1"/>
      <c r="R87" s="1"/>
      <c r="S87" s="1"/>
      <c r="T87" s="1"/>
      <c r="U87" s="1"/>
      <c r="V87" s="1"/>
      <c r="W87" s="1"/>
      <c r="X87" s="1"/>
      <c r="Y87" s="1"/>
      <c r="Z87" s="1"/>
      <c r="AA87" s="1"/>
      <c r="AB87" s="1"/>
      <c r="AC87" s="1"/>
      <c r="AD87" s="1"/>
      <c r="AE87" s="1"/>
    </row>
    <row r="88" spans="1:31" x14ac:dyDescent="0.25">
      <c r="A88" t="str">
        <f>B88&amp;VLOOKUP(D88, Lookups!$E$2:$F$8,2,FALSE)&amp;C88</f>
        <v>SCLCTwo Week WaitEarly</v>
      </c>
      <c r="B88" t="s">
        <v>20</v>
      </c>
      <c r="C88" t="s">
        <v>38</v>
      </c>
      <c r="D88" t="s">
        <v>31</v>
      </c>
      <c r="E88" s="1">
        <v>9.8130841121495324E-2</v>
      </c>
      <c r="F88" s="1">
        <v>0.14018691588785046</v>
      </c>
      <c r="G88" s="1">
        <v>7.9439252336448593E-2</v>
      </c>
      <c r="H88" s="1">
        <v>0.19626168224299065</v>
      </c>
      <c r="I88" s="1">
        <v>9.3457943925233638E-3</v>
      </c>
      <c r="J88" s="1">
        <v>0.38785046728971961</v>
      </c>
      <c r="K88" s="1">
        <v>4.2056074766355138E-2</v>
      </c>
      <c r="L88" s="1">
        <v>4.6728971962616821E-2</v>
      </c>
      <c r="M88" s="1">
        <v>0</v>
      </c>
      <c r="N88" s="2">
        <v>214</v>
      </c>
      <c r="P88" s="1">
        <v>6.5000000000000002E-2</v>
      </c>
      <c r="Q88" s="1">
        <v>0.14499999999999999</v>
      </c>
      <c r="R88" s="1">
        <v>0.1</v>
      </c>
      <c r="S88" s="1">
        <v>0.193</v>
      </c>
      <c r="T88" s="1">
        <v>0.05</v>
      </c>
      <c r="U88" s="1">
        <v>0.124</v>
      </c>
      <c r="V88" s="1">
        <v>0.14899999999999999</v>
      </c>
      <c r="W88" s="1">
        <v>0.255</v>
      </c>
      <c r="X88" s="1">
        <v>3.0000000000000001E-3</v>
      </c>
      <c r="Y88" s="1">
        <v>3.3000000000000002E-2</v>
      </c>
      <c r="Z88" s="1">
        <v>0.32500000000000001</v>
      </c>
      <c r="AA88" s="1">
        <v>0.45500000000000002</v>
      </c>
      <c r="AB88" s="1">
        <v>2.1999999999999999E-2</v>
      </c>
      <c r="AC88" s="1">
        <v>7.8E-2</v>
      </c>
      <c r="AD88" s="1">
        <v>2.5999999999999999E-2</v>
      </c>
      <c r="AE88" s="1">
        <v>8.4000000000000005E-2</v>
      </c>
    </row>
    <row r="89" spans="1:31" x14ac:dyDescent="0.25">
      <c r="A89" t="str">
        <f>B89&amp;VLOOKUP(D89, Lookups!$E$2:$F$8,2,FALSE)&amp;C89</f>
        <v>SCLCGP referralEarly</v>
      </c>
      <c r="B89" t="s">
        <v>20</v>
      </c>
      <c r="C89" t="s">
        <v>38</v>
      </c>
      <c r="D89" t="s">
        <v>2</v>
      </c>
      <c r="E89" s="1">
        <v>6.4516129032258063E-2</v>
      </c>
      <c r="F89" s="1">
        <v>0.20430107526881722</v>
      </c>
      <c r="G89" s="1">
        <v>0.14516129032258066</v>
      </c>
      <c r="H89" s="1">
        <v>0.13440860215053763</v>
      </c>
      <c r="I89" s="1">
        <v>0</v>
      </c>
      <c r="J89" s="1">
        <v>0.30645161290322581</v>
      </c>
      <c r="K89" s="1">
        <v>0.12365591397849462</v>
      </c>
      <c r="L89" s="1">
        <v>2.1505376344086023E-2</v>
      </c>
      <c r="M89" s="1">
        <v>0</v>
      </c>
      <c r="N89" s="2">
        <v>186</v>
      </c>
      <c r="P89" s="1">
        <v>3.6999999999999998E-2</v>
      </c>
      <c r="Q89" s="1">
        <v>0.109</v>
      </c>
      <c r="R89" s="1">
        <v>0.153</v>
      </c>
      <c r="S89" s="1">
        <v>0.26800000000000002</v>
      </c>
      <c r="T89" s="1">
        <v>0.10199999999999999</v>
      </c>
      <c r="U89" s="1">
        <v>0.20300000000000001</v>
      </c>
      <c r="V89" s="1">
        <v>9.2999999999999999E-2</v>
      </c>
      <c r="W89" s="1">
        <v>0.191</v>
      </c>
      <c r="X89" s="1">
        <v>0</v>
      </c>
      <c r="Y89" s="1">
        <v>0.02</v>
      </c>
      <c r="Z89" s="1">
        <v>0.245</v>
      </c>
      <c r="AA89" s="1">
        <v>0.376</v>
      </c>
      <c r="AB89" s="1">
        <v>8.4000000000000005E-2</v>
      </c>
      <c r="AC89" s="1">
        <v>0.17899999999999999</v>
      </c>
      <c r="AD89" s="1">
        <v>8.0000000000000002E-3</v>
      </c>
      <c r="AE89" s="1">
        <v>5.3999999999999999E-2</v>
      </c>
    </row>
    <row r="90" spans="1:31" x14ac:dyDescent="0.25">
      <c r="A90" t="str">
        <f>B90&amp;VLOOKUP(D90, Lookups!$E$2:$F$8,2,FALSE)&amp;C90</f>
        <v>SCLCIP &amp; OPEarly</v>
      </c>
      <c r="B90" t="s">
        <v>20</v>
      </c>
      <c r="C90" t="s">
        <v>38</v>
      </c>
      <c r="D90" t="s">
        <v>32</v>
      </c>
      <c r="E90" s="1">
        <v>0.13432835820895522</v>
      </c>
      <c r="F90" s="1">
        <v>0.13432835820895522</v>
      </c>
      <c r="G90" s="1">
        <v>0.11940298507462686</v>
      </c>
      <c r="H90" s="1">
        <v>0.12686567164179105</v>
      </c>
      <c r="I90" s="1">
        <v>7.462686567164179E-3</v>
      </c>
      <c r="J90" s="1">
        <v>0.32089552238805968</v>
      </c>
      <c r="K90" s="1">
        <v>8.9552238805970144E-2</v>
      </c>
      <c r="L90" s="1">
        <v>6.7164179104477612E-2</v>
      </c>
      <c r="M90" s="1">
        <v>0</v>
      </c>
      <c r="N90" s="2">
        <v>134</v>
      </c>
      <c r="P90" s="1">
        <v>8.6999999999999994E-2</v>
      </c>
      <c r="Q90" s="1">
        <v>0.20200000000000001</v>
      </c>
      <c r="R90" s="1">
        <v>8.6999999999999994E-2</v>
      </c>
      <c r="S90" s="1">
        <v>0.20200000000000001</v>
      </c>
      <c r="T90" s="1">
        <v>7.4999999999999997E-2</v>
      </c>
      <c r="U90" s="1">
        <v>0.185</v>
      </c>
      <c r="V90" s="1">
        <v>8.1000000000000003E-2</v>
      </c>
      <c r="W90" s="1">
        <v>0.19400000000000001</v>
      </c>
      <c r="X90" s="1">
        <v>1E-3</v>
      </c>
      <c r="Y90" s="1">
        <v>4.1000000000000002E-2</v>
      </c>
      <c r="Z90" s="1">
        <v>0.248</v>
      </c>
      <c r="AA90" s="1">
        <v>0.40400000000000003</v>
      </c>
      <c r="AB90" s="1">
        <v>5.1999999999999998E-2</v>
      </c>
      <c r="AC90" s="1">
        <v>0.15</v>
      </c>
      <c r="AD90" s="1">
        <v>3.5999999999999997E-2</v>
      </c>
      <c r="AE90" s="1">
        <v>0.123</v>
      </c>
    </row>
    <row r="91" spans="1:31" x14ac:dyDescent="0.25">
      <c r="A91" t="str">
        <f>B91&amp;VLOOKUP(D91, Lookups!$E$2:$F$8,2,FALSE)&amp;C91</f>
        <v>SCLCEmergency presentationEarly</v>
      </c>
      <c r="B91" t="s">
        <v>20</v>
      </c>
      <c r="C91" t="s">
        <v>38</v>
      </c>
      <c r="D91" t="s">
        <v>33</v>
      </c>
      <c r="E91" s="1">
        <v>2.8846153846153848E-2</v>
      </c>
      <c r="F91" s="1">
        <v>0.21153846153846154</v>
      </c>
      <c r="G91" s="1">
        <v>8.6538461538461536E-2</v>
      </c>
      <c r="H91" s="1">
        <v>6.7307692307692304E-2</v>
      </c>
      <c r="I91" s="1">
        <v>9.6153846153846159E-3</v>
      </c>
      <c r="J91" s="1">
        <v>0.30769230769230771</v>
      </c>
      <c r="K91" s="1">
        <v>0.26923076923076922</v>
      </c>
      <c r="L91" s="1">
        <v>1.9230769230769232E-2</v>
      </c>
      <c r="M91" s="1">
        <v>0</v>
      </c>
      <c r="N91" s="2">
        <v>104</v>
      </c>
      <c r="P91" s="1">
        <v>0.01</v>
      </c>
      <c r="Q91" s="1">
        <v>8.1000000000000003E-2</v>
      </c>
      <c r="R91" s="1">
        <v>0.14399999999999999</v>
      </c>
      <c r="S91" s="1">
        <v>0.3</v>
      </c>
      <c r="T91" s="1">
        <v>4.5999999999999999E-2</v>
      </c>
      <c r="U91" s="1">
        <v>0.156</v>
      </c>
      <c r="V91" s="1">
        <v>3.3000000000000002E-2</v>
      </c>
      <c r="W91" s="1">
        <v>0.13200000000000001</v>
      </c>
      <c r="X91" s="1">
        <v>2E-3</v>
      </c>
      <c r="Y91" s="1">
        <v>5.1999999999999998E-2</v>
      </c>
      <c r="Z91" s="1">
        <v>0.22700000000000001</v>
      </c>
      <c r="AA91" s="1">
        <v>0.40200000000000002</v>
      </c>
      <c r="AB91" s="1">
        <v>0.193</v>
      </c>
      <c r="AC91" s="1">
        <v>0.36199999999999999</v>
      </c>
      <c r="AD91" s="1">
        <v>5.0000000000000001E-3</v>
      </c>
      <c r="AE91" s="1">
        <v>6.7000000000000004E-2</v>
      </c>
    </row>
    <row r="92" spans="1:31" x14ac:dyDescent="0.25">
      <c r="A92" t="str">
        <f>B92&amp;VLOOKUP(D92, Lookups!$E$2:$F$8,2,FALSE)&amp;C92</f>
        <v>SCLCUnknownEarly</v>
      </c>
      <c r="B92" t="s">
        <v>20</v>
      </c>
      <c r="C92" t="s">
        <v>38</v>
      </c>
      <c r="D92" t="s">
        <v>4</v>
      </c>
      <c r="E92" s="1">
        <v>0.5</v>
      </c>
      <c r="F92" s="1">
        <v>0</v>
      </c>
      <c r="G92" s="1">
        <v>0</v>
      </c>
      <c r="H92" s="1">
        <v>0</v>
      </c>
      <c r="I92" s="1" t="s">
        <v>137</v>
      </c>
      <c r="J92" s="1">
        <v>0.25</v>
      </c>
      <c r="K92" s="1">
        <v>0.25</v>
      </c>
      <c r="L92" s="1" t="s">
        <v>137</v>
      </c>
      <c r="M92" s="1">
        <v>0</v>
      </c>
      <c r="N92" s="2">
        <v>4</v>
      </c>
      <c r="P92" s="1">
        <v>0.15</v>
      </c>
      <c r="Q92" s="1">
        <v>0.85</v>
      </c>
      <c r="R92" s="1">
        <v>0</v>
      </c>
      <c r="S92" s="1">
        <v>0.49</v>
      </c>
      <c r="T92" s="1">
        <v>0</v>
      </c>
      <c r="U92" s="1">
        <v>0.49</v>
      </c>
      <c r="V92" s="1">
        <v>0</v>
      </c>
      <c r="W92" s="1">
        <v>0.49</v>
      </c>
      <c r="X92" s="1"/>
      <c r="Y92" s="1"/>
      <c r="Z92" s="1">
        <v>4.5999999999999999E-2</v>
      </c>
      <c r="AA92" s="1">
        <v>0.69899999999999995</v>
      </c>
      <c r="AB92" s="1">
        <v>4.5999999999999999E-2</v>
      </c>
      <c r="AC92" s="1">
        <v>0.69899999999999995</v>
      </c>
      <c r="AD92" s="1"/>
      <c r="AE92" s="1"/>
    </row>
    <row r="93" spans="1:31" x14ac:dyDescent="0.25">
      <c r="A93" t="str">
        <f>B93&amp;VLOOKUP(D93, Lookups!$E$2:$F$8,2,FALSE)&amp;C93</f>
        <v>SCLCAll RoutesEarly</v>
      </c>
      <c r="B93" t="s">
        <v>20</v>
      </c>
      <c r="C93" t="s">
        <v>38</v>
      </c>
      <c r="D93" t="s">
        <v>34</v>
      </c>
      <c r="E93" s="1">
        <v>8.7227414330218064E-2</v>
      </c>
      <c r="F93" s="1">
        <v>0.16822429906542055</v>
      </c>
      <c r="G93" s="1">
        <v>0.10747663551401869</v>
      </c>
      <c r="H93" s="1">
        <v>0.14174454828660435</v>
      </c>
      <c r="I93" s="1">
        <v>6.2305295950155761E-3</v>
      </c>
      <c r="J93" s="1">
        <v>0.3364485981308411</v>
      </c>
      <c r="K93" s="1">
        <v>0.11370716510903427</v>
      </c>
      <c r="L93" s="1">
        <v>3.8940809968847349E-2</v>
      </c>
      <c r="M93" s="1">
        <v>0</v>
      </c>
      <c r="N93" s="2">
        <v>642</v>
      </c>
      <c r="P93" s="1">
        <v>6.8000000000000005E-2</v>
      </c>
      <c r="Q93" s="1">
        <v>0.112</v>
      </c>
      <c r="R93" s="1">
        <v>0.14099999999999999</v>
      </c>
      <c r="S93" s="1">
        <v>0.19900000000000001</v>
      </c>
      <c r="T93" s="1">
        <v>8.5999999999999993E-2</v>
      </c>
      <c r="U93" s="1">
        <v>0.13400000000000001</v>
      </c>
      <c r="V93" s="1">
        <v>0.11700000000000001</v>
      </c>
      <c r="W93" s="1">
        <v>0.17100000000000001</v>
      </c>
      <c r="X93" s="1">
        <v>2E-3</v>
      </c>
      <c r="Y93" s="1">
        <v>1.6E-2</v>
      </c>
      <c r="Z93" s="1">
        <v>0.30099999999999999</v>
      </c>
      <c r="AA93" s="1">
        <v>0.374</v>
      </c>
      <c r="AB93" s="1">
        <v>9.0999999999999998E-2</v>
      </c>
      <c r="AC93" s="1">
        <v>0.14099999999999999</v>
      </c>
      <c r="AD93" s="1">
        <v>2.7E-2</v>
      </c>
      <c r="AE93" s="1">
        <v>5.7000000000000002E-2</v>
      </c>
    </row>
    <row r="94" spans="1:31" x14ac:dyDescent="0.25">
      <c r="A94" t="str">
        <f>B94&amp;VLOOKUP(D94, Lookups!$E$2:$F$8,2,FALSE)&amp;C94</f>
        <v>SCLCScreen detectedLate</v>
      </c>
      <c r="B94" t="s">
        <v>20</v>
      </c>
      <c r="C94" t="s">
        <v>39</v>
      </c>
      <c r="D94" t="s">
        <v>30</v>
      </c>
      <c r="E94" s="1" t="s">
        <v>137</v>
      </c>
      <c r="F94" s="1" t="s">
        <v>137</v>
      </c>
      <c r="G94" s="1" t="s">
        <v>137</v>
      </c>
      <c r="H94" s="1" t="s">
        <v>137</v>
      </c>
      <c r="I94" s="1" t="s">
        <v>137</v>
      </c>
      <c r="J94" s="1" t="s">
        <v>137</v>
      </c>
      <c r="K94" s="1" t="s">
        <v>137</v>
      </c>
      <c r="L94" s="1" t="s">
        <v>137</v>
      </c>
      <c r="M94" s="1">
        <v>0</v>
      </c>
      <c r="N94" s="2">
        <v>0</v>
      </c>
      <c r="P94" s="1"/>
      <c r="Q94" s="1"/>
      <c r="R94" s="1"/>
      <c r="S94" s="1"/>
      <c r="T94" s="1"/>
      <c r="U94" s="1"/>
      <c r="V94" s="1"/>
      <c r="W94" s="1"/>
      <c r="X94" s="1"/>
      <c r="Y94" s="1"/>
      <c r="Z94" s="1"/>
      <c r="AA94" s="1"/>
      <c r="AB94" s="1"/>
      <c r="AC94" s="1"/>
      <c r="AD94" s="1"/>
      <c r="AE94" s="1"/>
    </row>
    <row r="95" spans="1:31" x14ac:dyDescent="0.25">
      <c r="A95" t="str">
        <f>B95&amp;VLOOKUP(D95, Lookups!$E$2:$F$8,2,FALSE)&amp;C95</f>
        <v>SCLCTwo Week WaitLate</v>
      </c>
      <c r="B95" t="s">
        <v>20</v>
      </c>
      <c r="C95" t="s">
        <v>39</v>
      </c>
      <c r="D95" t="s">
        <v>31</v>
      </c>
      <c r="E95" s="1">
        <v>5.7971014492753622E-4</v>
      </c>
      <c r="F95" s="1">
        <v>0.36927536231884056</v>
      </c>
      <c r="G95" s="1">
        <v>3.826086956521739E-2</v>
      </c>
      <c r="H95" s="1">
        <v>3.7681159420289855E-3</v>
      </c>
      <c r="I95" s="1">
        <v>2.8985507246376811E-4</v>
      </c>
      <c r="J95" s="1">
        <v>0.48753623188405798</v>
      </c>
      <c r="K95" s="1">
        <v>9.8550724637681164E-2</v>
      </c>
      <c r="L95" s="1">
        <v>1.7391304347826088E-3</v>
      </c>
      <c r="M95" s="1">
        <v>0</v>
      </c>
      <c r="N95" s="2">
        <v>3450</v>
      </c>
      <c r="P95" s="1">
        <v>0</v>
      </c>
      <c r="Q95" s="1">
        <v>2E-3</v>
      </c>
      <c r="R95" s="1">
        <v>0.35299999999999998</v>
      </c>
      <c r="S95" s="1">
        <v>0.38600000000000001</v>
      </c>
      <c r="T95" s="1">
        <v>3.2000000000000001E-2</v>
      </c>
      <c r="U95" s="1">
        <v>4.4999999999999998E-2</v>
      </c>
      <c r="V95" s="1">
        <v>2E-3</v>
      </c>
      <c r="W95" s="1">
        <v>6.0000000000000001E-3</v>
      </c>
      <c r="X95" s="1">
        <v>0</v>
      </c>
      <c r="Y95" s="1">
        <v>2E-3</v>
      </c>
      <c r="Z95" s="1">
        <v>0.47099999999999997</v>
      </c>
      <c r="AA95" s="1">
        <v>0.504</v>
      </c>
      <c r="AB95" s="1">
        <v>8.8999999999999996E-2</v>
      </c>
      <c r="AC95" s="1">
        <v>0.109</v>
      </c>
      <c r="AD95" s="1">
        <v>1E-3</v>
      </c>
      <c r="AE95" s="1">
        <v>4.0000000000000001E-3</v>
      </c>
    </row>
    <row r="96" spans="1:31" x14ac:dyDescent="0.25">
      <c r="A96" t="str">
        <f>B96&amp;VLOOKUP(D96, Lookups!$E$2:$F$8,2,FALSE)&amp;C96</f>
        <v>SCLCGP referralLate</v>
      </c>
      <c r="B96" t="s">
        <v>20</v>
      </c>
      <c r="C96" t="s">
        <v>39</v>
      </c>
      <c r="D96" t="s">
        <v>2</v>
      </c>
      <c r="E96" s="1">
        <v>0</v>
      </c>
      <c r="F96" s="1">
        <v>0.3045977011494253</v>
      </c>
      <c r="G96" s="1">
        <v>5.5381400208986416E-2</v>
      </c>
      <c r="H96" s="1">
        <v>4.7021943573667714E-3</v>
      </c>
      <c r="I96" s="1">
        <v>5.2246603970741907E-4</v>
      </c>
      <c r="J96" s="1">
        <v>0.38349007314524558</v>
      </c>
      <c r="K96" s="1">
        <v>0.24921630094043887</v>
      </c>
      <c r="L96" s="1">
        <v>2.0898641588296763E-3</v>
      </c>
      <c r="M96" s="1">
        <v>0</v>
      </c>
      <c r="N96" s="2">
        <v>1914</v>
      </c>
      <c r="P96" s="1">
        <v>0</v>
      </c>
      <c r="Q96" s="1">
        <v>2E-3</v>
      </c>
      <c r="R96" s="1">
        <v>0.28399999999999997</v>
      </c>
      <c r="S96" s="1">
        <v>0.32600000000000001</v>
      </c>
      <c r="T96" s="1">
        <v>4.5999999999999999E-2</v>
      </c>
      <c r="U96" s="1">
        <v>6.7000000000000004E-2</v>
      </c>
      <c r="V96" s="1">
        <v>2E-3</v>
      </c>
      <c r="W96" s="1">
        <v>8.9999999999999993E-3</v>
      </c>
      <c r="X96" s="1">
        <v>0</v>
      </c>
      <c r="Y96" s="1">
        <v>3.0000000000000001E-3</v>
      </c>
      <c r="Z96" s="1">
        <v>0.36199999999999999</v>
      </c>
      <c r="AA96" s="1">
        <v>0.40500000000000003</v>
      </c>
      <c r="AB96" s="1">
        <v>0.23</v>
      </c>
      <c r="AC96" s="1">
        <v>0.26900000000000002</v>
      </c>
      <c r="AD96" s="1">
        <v>1E-3</v>
      </c>
      <c r="AE96" s="1">
        <v>5.0000000000000001E-3</v>
      </c>
    </row>
    <row r="97" spans="1:31" x14ac:dyDescent="0.25">
      <c r="A97" t="str">
        <f>B97&amp;VLOOKUP(D97, Lookups!$E$2:$F$8,2,FALSE)&amp;C97</f>
        <v>SCLCIP &amp; OPLate</v>
      </c>
      <c r="B97" t="s">
        <v>20</v>
      </c>
      <c r="C97" t="s">
        <v>39</v>
      </c>
      <c r="D97" t="s">
        <v>32</v>
      </c>
      <c r="E97" s="1">
        <v>7.7339520494972935E-4</v>
      </c>
      <c r="F97" s="1">
        <v>0.32173240525908742</v>
      </c>
      <c r="G97" s="1">
        <v>5.2590873936581593E-2</v>
      </c>
      <c r="H97" s="1">
        <v>9.2807424593967514E-3</v>
      </c>
      <c r="I97" s="1">
        <v>0</v>
      </c>
      <c r="J97" s="1">
        <v>0.40757927300850733</v>
      </c>
      <c r="K97" s="1">
        <v>0.205723124516628</v>
      </c>
      <c r="L97" s="1">
        <v>2.3201856148491878E-3</v>
      </c>
      <c r="M97" s="1">
        <v>0</v>
      </c>
      <c r="N97" s="2">
        <v>1293</v>
      </c>
      <c r="P97" s="1">
        <v>0</v>
      </c>
      <c r="Q97" s="1">
        <v>4.0000000000000001E-3</v>
      </c>
      <c r="R97" s="1">
        <v>0.29699999999999999</v>
      </c>
      <c r="S97" s="1">
        <v>0.34799999999999998</v>
      </c>
      <c r="T97" s="1">
        <v>4.2000000000000003E-2</v>
      </c>
      <c r="U97" s="1">
        <v>6.6000000000000003E-2</v>
      </c>
      <c r="V97" s="1">
        <v>5.0000000000000001E-3</v>
      </c>
      <c r="W97" s="1">
        <v>1.6E-2</v>
      </c>
      <c r="X97" s="1">
        <v>0</v>
      </c>
      <c r="Y97" s="1">
        <v>3.0000000000000001E-3</v>
      </c>
      <c r="Z97" s="1">
        <v>0.38100000000000001</v>
      </c>
      <c r="AA97" s="1">
        <v>0.435</v>
      </c>
      <c r="AB97" s="1">
        <v>0.185</v>
      </c>
      <c r="AC97" s="1">
        <v>0.22900000000000001</v>
      </c>
      <c r="AD97" s="1">
        <v>1E-3</v>
      </c>
      <c r="AE97" s="1">
        <v>7.0000000000000001E-3</v>
      </c>
    </row>
    <row r="98" spans="1:31" x14ac:dyDescent="0.25">
      <c r="A98" t="str">
        <f>B98&amp;VLOOKUP(D98, Lookups!$E$2:$F$8,2,FALSE)&amp;C98</f>
        <v>SCLCEmergency presentationLate</v>
      </c>
      <c r="B98" t="s">
        <v>20</v>
      </c>
      <c r="C98" t="s">
        <v>39</v>
      </c>
      <c r="D98" t="s">
        <v>33</v>
      </c>
      <c r="E98" s="1">
        <v>1.103448275862069E-3</v>
      </c>
      <c r="F98" s="1">
        <v>0.27641379310344827</v>
      </c>
      <c r="G98" s="1">
        <v>6.2896551724137925E-2</v>
      </c>
      <c r="H98" s="1">
        <v>5.5172413793103451E-4</v>
      </c>
      <c r="I98" s="1">
        <v>0</v>
      </c>
      <c r="J98" s="1">
        <v>0.2449655172413793</v>
      </c>
      <c r="K98" s="1">
        <v>0.41379310344827586</v>
      </c>
      <c r="L98" s="1">
        <v>2.7586206896551725E-4</v>
      </c>
      <c r="M98" s="1">
        <v>0</v>
      </c>
      <c r="N98" s="2">
        <v>3625</v>
      </c>
      <c r="P98" s="1">
        <v>0</v>
      </c>
      <c r="Q98" s="1">
        <v>3.0000000000000001E-3</v>
      </c>
      <c r="R98" s="1">
        <v>0.26200000000000001</v>
      </c>
      <c r="S98" s="1">
        <v>0.29099999999999998</v>
      </c>
      <c r="T98" s="1">
        <v>5.5E-2</v>
      </c>
      <c r="U98" s="1">
        <v>7.0999999999999994E-2</v>
      </c>
      <c r="V98" s="1">
        <v>0</v>
      </c>
      <c r="W98" s="1">
        <v>2E-3</v>
      </c>
      <c r="X98" s="1">
        <v>0</v>
      </c>
      <c r="Y98" s="1">
        <v>1E-3</v>
      </c>
      <c r="Z98" s="1">
        <v>0.23100000000000001</v>
      </c>
      <c r="AA98" s="1">
        <v>0.25900000000000001</v>
      </c>
      <c r="AB98" s="1">
        <v>0.39800000000000002</v>
      </c>
      <c r="AC98" s="1">
        <v>0.43</v>
      </c>
      <c r="AD98" s="1">
        <v>0</v>
      </c>
      <c r="AE98" s="1">
        <v>2E-3</v>
      </c>
    </row>
    <row r="99" spans="1:31" x14ac:dyDescent="0.25">
      <c r="A99" t="str">
        <f>B99&amp;VLOOKUP(D99, Lookups!$E$2:$F$8,2,FALSE)&amp;C99</f>
        <v>SCLCUnknownLate</v>
      </c>
      <c r="B99" t="s">
        <v>20</v>
      </c>
      <c r="C99" t="s">
        <v>39</v>
      </c>
      <c r="D99" t="s">
        <v>4</v>
      </c>
      <c r="E99" s="1">
        <v>0</v>
      </c>
      <c r="F99" s="1">
        <v>0.22330097087378642</v>
      </c>
      <c r="G99" s="1">
        <v>8.7378640776699032E-2</v>
      </c>
      <c r="H99" s="1">
        <v>0</v>
      </c>
      <c r="I99" s="1" t="s">
        <v>137</v>
      </c>
      <c r="J99" s="1">
        <v>0.24271844660194175</v>
      </c>
      <c r="K99" s="1">
        <v>0.44660194174757284</v>
      </c>
      <c r="L99" s="1" t="s">
        <v>137</v>
      </c>
      <c r="M99" s="1">
        <v>0</v>
      </c>
      <c r="N99" s="2">
        <v>103</v>
      </c>
      <c r="P99" s="1">
        <v>0</v>
      </c>
      <c r="Q99" s="1">
        <v>3.5999999999999997E-2</v>
      </c>
      <c r="R99" s="1">
        <v>0.154</v>
      </c>
      <c r="S99" s="1">
        <v>0.313</v>
      </c>
      <c r="T99" s="1">
        <v>4.7E-2</v>
      </c>
      <c r="U99" s="1">
        <v>0.158</v>
      </c>
      <c r="V99" s="1">
        <v>0</v>
      </c>
      <c r="W99" s="1">
        <v>3.5999999999999997E-2</v>
      </c>
      <c r="X99" s="1"/>
      <c r="Y99" s="1"/>
      <c r="Z99" s="1">
        <v>0.17</v>
      </c>
      <c r="AA99" s="1">
        <v>0.33400000000000002</v>
      </c>
      <c r="AB99" s="1">
        <v>0.35399999999999998</v>
      </c>
      <c r="AC99" s="1">
        <v>0.54300000000000004</v>
      </c>
      <c r="AD99" s="1"/>
      <c r="AE99" s="1"/>
    </row>
    <row r="100" spans="1:31" x14ac:dyDescent="0.25">
      <c r="A100" t="str">
        <f>B100&amp;VLOOKUP(D100, Lookups!$E$2:$F$8,2,FALSE)&amp;C100</f>
        <v>SCLCAll RoutesLate</v>
      </c>
      <c r="B100" t="s">
        <v>20</v>
      </c>
      <c r="C100" t="s">
        <v>39</v>
      </c>
      <c r="D100" t="s">
        <v>34</v>
      </c>
      <c r="E100" s="1">
        <v>6.7404910929224845E-4</v>
      </c>
      <c r="F100" s="1">
        <v>0.31757342320654791</v>
      </c>
      <c r="G100" s="1">
        <v>5.2286952335098703E-2</v>
      </c>
      <c r="H100" s="1">
        <v>3.4665382763601348E-3</v>
      </c>
      <c r="I100" s="1">
        <v>1.9258545979778527E-4</v>
      </c>
      <c r="J100" s="1">
        <v>0.37130476649013</v>
      </c>
      <c r="K100" s="1">
        <v>0.25315358690418871</v>
      </c>
      <c r="L100" s="1">
        <v>1.3480982185844969E-3</v>
      </c>
      <c r="M100" s="1">
        <v>0</v>
      </c>
      <c r="N100" s="2">
        <v>10385</v>
      </c>
      <c r="P100" s="1">
        <v>0</v>
      </c>
      <c r="Q100" s="1">
        <v>1E-3</v>
      </c>
      <c r="R100" s="1">
        <v>0.309</v>
      </c>
      <c r="S100" s="1">
        <v>0.32700000000000001</v>
      </c>
      <c r="T100" s="1">
        <v>4.8000000000000001E-2</v>
      </c>
      <c r="U100" s="1">
        <v>5.7000000000000002E-2</v>
      </c>
      <c r="V100" s="1">
        <v>3.0000000000000001E-3</v>
      </c>
      <c r="W100" s="1">
        <v>5.0000000000000001E-3</v>
      </c>
      <c r="X100" s="1">
        <v>0</v>
      </c>
      <c r="Y100" s="1">
        <v>1E-3</v>
      </c>
      <c r="Z100" s="1">
        <v>0.36199999999999999</v>
      </c>
      <c r="AA100" s="1">
        <v>0.38100000000000001</v>
      </c>
      <c r="AB100" s="1">
        <v>0.245</v>
      </c>
      <c r="AC100" s="1">
        <v>0.26200000000000001</v>
      </c>
      <c r="AD100" s="1">
        <v>1E-3</v>
      </c>
      <c r="AE100" s="1">
        <v>2E-3</v>
      </c>
    </row>
    <row r="101" spans="1:31" x14ac:dyDescent="0.25">
      <c r="A101" t="str">
        <f>B101&amp;VLOOKUP(D101, Lookups!$E$2:$F$8,2,FALSE)&amp;C101</f>
        <v>SCLCScreen detectedUnknown</v>
      </c>
      <c r="B101" t="s">
        <v>20</v>
      </c>
      <c r="C101" t="s">
        <v>4</v>
      </c>
      <c r="D101" t="s">
        <v>30</v>
      </c>
      <c r="E101" s="1" t="s">
        <v>137</v>
      </c>
      <c r="F101" s="1" t="s">
        <v>137</v>
      </c>
      <c r="G101" s="1" t="s">
        <v>137</v>
      </c>
      <c r="H101" s="1" t="s">
        <v>137</v>
      </c>
      <c r="I101" s="1" t="s">
        <v>137</v>
      </c>
      <c r="J101" s="1" t="s">
        <v>137</v>
      </c>
      <c r="K101" s="1" t="s">
        <v>137</v>
      </c>
      <c r="L101" s="1" t="s">
        <v>137</v>
      </c>
      <c r="M101" s="1">
        <v>0</v>
      </c>
      <c r="N101" s="2">
        <v>0</v>
      </c>
      <c r="P101" s="1"/>
      <c r="Q101" s="1"/>
      <c r="R101" s="1"/>
      <c r="S101" s="1"/>
      <c r="T101" s="1"/>
      <c r="U101" s="1"/>
      <c r="V101" s="1"/>
      <c r="W101" s="1"/>
      <c r="X101" s="1"/>
      <c r="Y101" s="1"/>
      <c r="Z101" s="1"/>
      <c r="AA101" s="1"/>
      <c r="AB101" s="1"/>
      <c r="AC101" s="1"/>
      <c r="AD101" s="1"/>
      <c r="AE101" s="1"/>
    </row>
    <row r="102" spans="1:31" x14ac:dyDescent="0.25">
      <c r="A102" t="str">
        <f>B102&amp;VLOOKUP(D102, Lookups!$E$2:$F$8,2,FALSE)&amp;C102</f>
        <v>SCLCTwo Week WaitUnknown</v>
      </c>
      <c r="B102" t="s">
        <v>20</v>
      </c>
      <c r="C102" t="s">
        <v>4</v>
      </c>
      <c r="D102" t="s">
        <v>31</v>
      </c>
      <c r="E102" s="1">
        <v>0</v>
      </c>
      <c r="F102" s="1">
        <v>0.29599999999999999</v>
      </c>
      <c r="G102" s="1">
        <v>6.4000000000000001E-2</v>
      </c>
      <c r="H102" s="1">
        <v>0</v>
      </c>
      <c r="I102" s="1">
        <v>0</v>
      </c>
      <c r="J102" s="1">
        <v>0.504</v>
      </c>
      <c r="K102" s="1">
        <v>0.128</v>
      </c>
      <c r="L102" s="1">
        <v>8.0000000000000002E-3</v>
      </c>
      <c r="M102" s="1">
        <v>0</v>
      </c>
      <c r="N102" s="2">
        <v>125</v>
      </c>
      <c r="P102" s="1">
        <v>0</v>
      </c>
      <c r="Q102" s="1">
        <v>0.03</v>
      </c>
      <c r="R102" s="1">
        <v>0.223</v>
      </c>
      <c r="S102" s="1">
        <v>0.38100000000000001</v>
      </c>
      <c r="T102" s="1">
        <v>3.3000000000000002E-2</v>
      </c>
      <c r="U102" s="1">
        <v>0.121</v>
      </c>
      <c r="V102" s="1">
        <v>0</v>
      </c>
      <c r="W102" s="1">
        <v>0.03</v>
      </c>
      <c r="X102" s="1">
        <v>0</v>
      </c>
      <c r="Y102" s="1">
        <v>0.03</v>
      </c>
      <c r="Z102" s="1">
        <v>0.41799999999999998</v>
      </c>
      <c r="AA102" s="1">
        <v>0.59</v>
      </c>
      <c r="AB102" s="1">
        <v>0.08</v>
      </c>
      <c r="AC102" s="1">
        <v>0.19800000000000001</v>
      </c>
      <c r="AD102" s="1">
        <v>1E-3</v>
      </c>
      <c r="AE102" s="1">
        <v>4.3999999999999997E-2</v>
      </c>
    </row>
    <row r="103" spans="1:31" x14ac:dyDescent="0.25">
      <c r="A103" t="str">
        <f>B103&amp;VLOOKUP(D103, Lookups!$E$2:$F$8,2,FALSE)&amp;C103</f>
        <v>SCLCGP referralUnknown</v>
      </c>
      <c r="B103" t="s">
        <v>20</v>
      </c>
      <c r="C103" t="s">
        <v>4</v>
      </c>
      <c r="D103" t="s">
        <v>2</v>
      </c>
      <c r="E103" s="1">
        <v>6.8027210884353739E-3</v>
      </c>
      <c r="F103" s="1">
        <v>0.22448979591836735</v>
      </c>
      <c r="G103" s="1">
        <v>5.4421768707482991E-2</v>
      </c>
      <c r="H103" s="1">
        <v>1.3605442176870748E-2</v>
      </c>
      <c r="I103" s="1">
        <v>0</v>
      </c>
      <c r="J103" s="1">
        <v>0.20408163265306123</v>
      </c>
      <c r="K103" s="1">
        <v>0.48299319727891155</v>
      </c>
      <c r="L103" s="1">
        <v>1.3605442176870748E-2</v>
      </c>
      <c r="M103" s="1">
        <v>0</v>
      </c>
      <c r="N103" s="2">
        <v>147</v>
      </c>
      <c r="P103" s="1">
        <v>1E-3</v>
      </c>
      <c r="Q103" s="1">
        <v>3.7999999999999999E-2</v>
      </c>
      <c r="R103" s="1">
        <v>0.16500000000000001</v>
      </c>
      <c r="S103" s="1">
        <v>0.29799999999999999</v>
      </c>
      <c r="T103" s="1">
        <v>2.8000000000000001E-2</v>
      </c>
      <c r="U103" s="1">
        <v>0.104</v>
      </c>
      <c r="V103" s="1">
        <v>4.0000000000000001E-3</v>
      </c>
      <c r="W103" s="1">
        <v>4.8000000000000001E-2</v>
      </c>
      <c r="X103" s="1">
        <v>0</v>
      </c>
      <c r="Y103" s="1">
        <v>2.5000000000000001E-2</v>
      </c>
      <c r="Z103" s="1">
        <v>0.14699999999999999</v>
      </c>
      <c r="AA103" s="1">
        <v>0.27600000000000002</v>
      </c>
      <c r="AB103" s="1">
        <v>0.40400000000000003</v>
      </c>
      <c r="AC103" s="1">
        <v>0.56299999999999994</v>
      </c>
      <c r="AD103" s="1">
        <v>4.0000000000000001E-3</v>
      </c>
      <c r="AE103" s="1">
        <v>4.8000000000000001E-2</v>
      </c>
    </row>
    <row r="104" spans="1:31" x14ac:dyDescent="0.25">
      <c r="A104" t="str">
        <f>B104&amp;VLOOKUP(D104, Lookups!$E$2:$F$8,2,FALSE)&amp;C104</f>
        <v>SCLCIP &amp; OPUnknown</v>
      </c>
      <c r="B104" t="s">
        <v>20</v>
      </c>
      <c r="C104" t="s">
        <v>4</v>
      </c>
      <c r="D104" t="s">
        <v>32</v>
      </c>
      <c r="E104" s="1">
        <v>2.0618556701030927E-2</v>
      </c>
      <c r="F104" s="1">
        <v>0.18556701030927836</v>
      </c>
      <c r="G104" s="1">
        <v>6.1855670103092786E-2</v>
      </c>
      <c r="H104" s="1">
        <v>2.0618556701030927E-2</v>
      </c>
      <c r="I104" s="1">
        <v>0</v>
      </c>
      <c r="J104" s="1">
        <v>0.28865979381443296</v>
      </c>
      <c r="K104" s="1">
        <v>0.42268041237113402</v>
      </c>
      <c r="L104" s="1">
        <v>0</v>
      </c>
      <c r="M104" s="1">
        <v>0</v>
      </c>
      <c r="N104" s="2">
        <v>97</v>
      </c>
      <c r="P104" s="1">
        <v>6.0000000000000001E-3</v>
      </c>
      <c r="Q104" s="1">
        <v>7.1999999999999995E-2</v>
      </c>
      <c r="R104" s="1">
        <v>0.121</v>
      </c>
      <c r="S104" s="1">
        <v>0.27400000000000002</v>
      </c>
      <c r="T104" s="1">
        <v>2.9000000000000001E-2</v>
      </c>
      <c r="U104" s="1">
        <v>0.128</v>
      </c>
      <c r="V104" s="1">
        <v>6.0000000000000001E-3</v>
      </c>
      <c r="W104" s="1">
        <v>7.1999999999999995E-2</v>
      </c>
      <c r="X104" s="1">
        <v>0</v>
      </c>
      <c r="Y104" s="1">
        <v>3.7999999999999999E-2</v>
      </c>
      <c r="Z104" s="1">
        <v>0.20799999999999999</v>
      </c>
      <c r="AA104" s="1">
        <v>0.38600000000000001</v>
      </c>
      <c r="AB104" s="1">
        <v>0.32900000000000001</v>
      </c>
      <c r="AC104" s="1">
        <v>0.52200000000000002</v>
      </c>
      <c r="AD104" s="1">
        <v>0</v>
      </c>
      <c r="AE104" s="1">
        <v>3.7999999999999999E-2</v>
      </c>
    </row>
    <row r="105" spans="1:31" x14ac:dyDescent="0.25">
      <c r="A105" t="str">
        <f>B105&amp;VLOOKUP(D105, Lookups!$E$2:$F$8,2,FALSE)&amp;C105</f>
        <v>SCLCEmergency presentationUnknown</v>
      </c>
      <c r="B105" t="s">
        <v>20</v>
      </c>
      <c r="C105" t="s">
        <v>4</v>
      </c>
      <c r="D105" t="s">
        <v>33</v>
      </c>
      <c r="E105" s="1">
        <v>4.048582995951417E-3</v>
      </c>
      <c r="F105" s="1">
        <v>0.19433198380566802</v>
      </c>
      <c r="G105" s="1">
        <v>2.8340080971659919E-2</v>
      </c>
      <c r="H105" s="1">
        <v>0</v>
      </c>
      <c r="I105" s="1">
        <v>0</v>
      </c>
      <c r="J105" s="1">
        <v>0.11740890688259109</v>
      </c>
      <c r="K105" s="1">
        <v>0.65587044534412953</v>
      </c>
      <c r="L105" s="1">
        <v>0</v>
      </c>
      <c r="M105" s="1">
        <v>0</v>
      </c>
      <c r="N105" s="2">
        <v>247</v>
      </c>
      <c r="P105" s="1">
        <v>1E-3</v>
      </c>
      <c r="Q105" s="1">
        <v>2.3E-2</v>
      </c>
      <c r="R105" s="1">
        <v>0.15</v>
      </c>
      <c r="S105" s="1">
        <v>0.248</v>
      </c>
      <c r="T105" s="1">
        <v>1.4E-2</v>
      </c>
      <c r="U105" s="1">
        <v>5.7000000000000002E-2</v>
      </c>
      <c r="V105" s="1">
        <v>0</v>
      </c>
      <c r="W105" s="1">
        <v>1.4999999999999999E-2</v>
      </c>
      <c r="X105" s="1">
        <v>0</v>
      </c>
      <c r="Y105" s="1">
        <v>1.4999999999999999E-2</v>
      </c>
      <c r="Z105" s="1">
        <v>8.3000000000000004E-2</v>
      </c>
      <c r="AA105" s="1">
        <v>0.16400000000000001</v>
      </c>
      <c r="AB105" s="1">
        <v>0.59499999999999997</v>
      </c>
      <c r="AC105" s="1">
        <v>0.71199999999999997</v>
      </c>
      <c r="AD105" s="1">
        <v>0</v>
      </c>
      <c r="AE105" s="1">
        <v>1.4999999999999999E-2</v>
      </c>
    </row>
    <row r="106" spans="1:31" x14ac:dyDescent="0.25">
      <c r="A106" t="str">
        <f>B106&amp;VLOOKUP(D106, Lookups!$E$2:$F$8,2,FALSE)&amp;C106</f>
        <v>SCLCUnknownUnknown</v>
      </c>
      <c r="B106" t="s">
        <v>20</v>
      </c>
      <c r="C106" t="s">
        <v>4</v>
      </c>
      <c r="D106" t="s">
        <v>4</v>
      </c>
      <c r="E106" s="1">
        <v>2.5000000000000001E-2</v>
      </c>
      <c r="F106" s="1">
        <v>0.15</v>
      </c>
      <c r="G106" s="1">
        <v>2.5000000000000001E-2</v>
      </c>
      <c r="H106" s="1">
        <v>2.5000000000000001E-2</v>
      </c>
      <c r="I106" s="1" t="s">
        <v>137</v>
      </c>
      <c r="J106" s="1">
        <v>2.5000000000000001E-2</v>
      </c>
      <c r="K106" s="1">
        <v>0.75</v>
      </c>
      <c r="L106" s="1" t="s">
        <v>137</v>
      </c>
      <c r="M106" s="1">
        <v>0</v>
      </c>
      <c r="N106" s="2">
        <v>40</v>
      </c>
      <c r="P106" s="1">
        <v>4.0000000000000001E-3</v>
      </c>
      <c r="Q106" s="1">
        <v>0.129</v>
      </c>
      <c r="R106" s="1">
        <v>7.0999999999999994E-2</v>
      </c>
      <c r="S106" s="1">
        <v>0.29099999999999998</v>
      </c>
      <c r="T106" s="1">
        <v>4.0000000000000001E-3</v>
      </c>
      <c r="U106" s="1">
        <v>0.129</v>
      </c>
      <c r="V106" s="1">
        <v>4.0000000000000001E-3</v>
      </c>
      <c r="W106" s="1">
        <v>0.129</v>
      </c>
      <c r="X106" s="1"/>
      <c r="Y106" s="1"/>
      <c r="Z106" s="1">
        <v>4.0000000000000001E-3</v>
      </c>
      <c r="AA106" s="1">
        <v>0.129</v>
      </c>
      <c r="AB106" s="1">
        <v>0.59799999999999998</v>
      </c>
      <c r="AC106" s="1">
        <v>0.85799999999999998</v>
      </c>
      <c r="AD106" s="1"/>
      <c r="AE106" s="1"/>
    </row>
    <row r="107" spans="1:31" x14ac:dyDescent="0.25">
      <c r="A107" t="str">
        <f>B107&amp;VLOOKUP(D107, Lookups!$E$2:$F$8,2,FALSE)&amp;C107</f>
        <v>SCLCAll RoutesUnknown</v>
      </c>
      <c r="B107" t="s">
        <v>20</v>
      </c>
      <c r="C107" t="s">
        <v>4</v>
      </c>
      <c r="D107" t="s">
        <v>34</v>
      </c>
      <c r="E107" s="1">
        <v>7.621951219512195E-3</v>
      </c>
      <c r="F107" s="1">
        <v>0.21646341463414634</v>
      </c>
      <c r="G107" s="1">
        <v>4.573170731707317E-2</v>
      </c>
      <c r="H107" s="1">
        <v>7.621951219512195E-3</v>
      </c>
      <c r="I107" s="1">
        <v>0</v>
      </c>
      <c r="J107" s="1">
        <v>0.2301829268292683</v>
      </c>
      <c r="K107" s="1">
        <v>0.48780487804878048</v>
      </c>
      <c r="L107" s="1">
        <v>4.5731707317073168E-3</v>
      </c>
      <c r="M107" s="1">
        <v>0</v>
      </c>
      <c r="N107" s="2">
        <v>656</v>
      </c>
      <c r="P107" s="1">
        <v>3.0000000000000001E-3</v>
      </c>
      <c r="Q107" s="1">
        <v>1.7999999999999999E-2</v>
      </c>
      <c r="R107" s="1">
        <v>0.187</v>
      </c>
      <c r="S107" s="1">
        <v>0.25</v>
      </c>
      <c r="T107" s="1">
        <v>3.2000000000000001E-2</v>
      </c>
      <c r="U107" s="1">
        <v>6.5000000000000002E-2</v>
      </c>
      <c r="V107" s="1">
        <v>3.0000000000000001E-3</v>
      </c>
      <c r="W107" s="1">
        <v>1.7999999999999999E-2</v>
      </c>
      <c r="X107" s="1">
        <v>0</v>
      </c>
      <c r="Y107" s="1">
        <v>6.0000000000000001E-3</v>
      </c>
      <c r="Z107" s="1">
        <v>0.2</v>
      </c>
      <c r="AA107" s="1">
        <v>0.26400000000000001</v>
      </c>
      <c r="AB107" s="1">
        <v>0.45</v>
      </c>
      <c r="AC107" s="1">
        <v>0.52600000000000002</v>
      </c>
      <c r="AD107" s="1">
        <v>2E-3</v>
      </c>
      <c r="AE107" s="1">
        <v>1.2999999999999999E-2</v>
      </c>
    </row>
    <row r="108" spans="1:31" x14ac:dyDescent="0.25">
      <c r="A108" t="str">
        <f>B108&amp;VLOOKUP(D108, Lookups!$E$2:$F$8,2,FALSE)&amp;C108</f>
        <v>ProstateScreen detectedEarly</v>
      </c>
      <c r="B108" t="s">
        <v>21</v>
      </c>
      <c r="C108" t="s">
        <v>38</v>
      </c>
      <c r="D108" t="s">
        <v>30</v>
      </c>
      <c r="E108" s="1" t="s">
        <v>137</v>
      </c>
      <c r="F108" s="1" t="s">
        <v>137</v>
      </c>
      <c r="G108" s="1" t="s">
        <v>137</v>
      </c>
      <c r="H108" s="1" t="s">
        <v>137</v>
      </c>
      <c r="I108" s="1" t="s">
        <v>137</v>
      </c>
      <c r="J108" s="1" t="s">
        <v>137</v>
      </c>
      <c r="K108" s="1" t="s">
        <v>137</v>
      </c>
      <c r="L108" s="1" t="s">
        <v>137</v>
      </c>
      <c r="M108" s="1">
        <v>0</v>
      </c>
      <c r="N108" s="2">
        <v>0</v>
      </c>
      <c r="P108" s="1"/>
      <c r="Q108" s="1"/>
      <c r="R108" s="1"/>
      <c r="S108" s="1"/>
      <c r="T108" s="1"/>
      <c r="U108" s="1"/>
      <c r="V108" s="1"/>
      <c r="W108" s="1"/>
      <c r="X108" s="1"/>
      <c r="Y108" s="1"/>
      <c r="Z108" s="1"/>
      <c r="AA108" s="1"/>
      <c r="AB108" s="1"/>
      <c r="AC108" s="1"/>
      <c r="AD108" s="1"/>
      <c r="AE108" s="1"/>
    </row>
    <row r="109" spans="1:31" x14ac:dyDescent="0.25">
      <c r="A109" t="str">
        <f>B109&amp;VLOOKUP(D109, Lookups!$E$2:$F$8,2,FALSE)&amp;C109</f>
        <v>ProstateTwo Week WaitEarly</v>
      </c>
      <c r="B109" t="s">
        <v>21</v>
      </c>
      <c r="C109" t="s">
        <v>38</v>
      </c>
      <c r="D109" t="s">
        <v>31</v>
      </c>
      <c r="E109" s="1">
        <v>0.14342922523700555</v>
      </c>
      <c r="F109" s="1">
        <v>3.9228506047728016E-3</v>
      </c>
      <c r="G109" s="1">
        <v>0.31227525335076822</v>
      </c>
      <c r="H109" s="1">
        <v>4.4949329846355018E-4</v>
      </c>
      <c r="I109" s="1">
        <v>4.7809741745668518E-3</v>
      </c>
      <c r="J109" s="1">
        <v>4.6175220660346515E-3</v>
      </c>
      <c r="K109" s="1">
        <v>0.53044295521412221</v>
      </c>
      <c r="L109" s="1">
        <v>8.1726054266100033E-5</v>
      </c>
      <c r="M109" s="1">
        <v>0</v>
      </c>
      <c r="N109" s="2">
        <v>24472</v>
      </c>
      <c r="P109" s="1">
        <v>0.13900000000000001</v>
      </c>
      <c r="Q109" s="1">
        <v>0.14799999999999999</v>
      </c>
      <c r="R109" s="1">
        <v>3.0000000000000001E-3</v>
      </c>
      <c r="S109" s="1">
        <v>5.0000000000000001E-3</v>
      </c>
      <c r="T109" s="1">
        <v>0.30599999999999999</v>
      </c>
      <c r="U109" s="1">
        <v>0.318</v>
      </c>
      <c r="V109" s="1">
        <v>0</v>
      </c>
      <c r="W109" s="1">
        <v>1E-3</v>
      </c>
      <c r="X109" s="1">
        <v>4.0000000000000001E-3</v>
      </c>
      <c r="Y109" s="1">
        <v>6.0000000000000001E-3</v>
      </c>
      <c r="Z109" s="1">
        <v>4.0000000000000001E-3</v>
      </c>
      <c r="AA109" s="1">
        <v>6.0000000000000001E-3</v>
      </c>
      <c r="AB109" s="1">
        <v>0.52400000000000002</v>
      </c>
      <c r="AC109" s="1">
        <v>0.53700000000000003</v>
      </c>
      <c r="AD109" s="1">
        <v>0</v>
      </c>
      <c r="AE109" s="1">
        <v>0</v>
      </c>
    </row>
    <row r="110" spans="1:31" x14ac:dyDescent="0.25">
      <c r="A110" t="str">
        <f>B110&amp;VLOOKUP(D110, Lookups!$E$2:$F$8,2,FALSE)&amp;C110</f>
        <v>ProstateGP referralEarly</v>
      </c>
      <c r="B110" t="s">
        <v>21</v>
      </c>
      <c r="C110" t="s">
        <v>38</v>
      </c>
      <c r="D110" t="s">
        <v>2</v>
      </c>
      <c r="E110" s="1">
        <v>0.20346920425595685</v>
      </c>
      <c r="F110" s="1">
        <v>3.2219391578000899E-3</v>
      </c>
      <c r="G110" s="1">
        <v>0.2307058294620111</v>
      </c>
      <c r="H110" s="1">
        <v>1.0115390379139817E-3</v>
      </c>
      <c r="I110" s="1">
        <v>6.1441630451071483E-3</v>
      </c>
      <c r="J110" s="1">
        <v>4.1960137869024427E-3</v>
      </c>
      <c r="K110" s="1">
        <v>0.5511763824366851</v>
      </c>
      <c r="L110" s="1">
        <v>7.4928817623257901E-5</v>
      </c>
      <c r="M110" s="1">
        <v>0</v>
      </c>
      <c r="N110" s="2">
        <v>26692</v>
      </c>
      <c r="P110" s="1">
        <v>0.19900000000000001</v>
      </c>
      <c r="Q110" s="1">
        <v>0.20799999999999999</v>
      </c>
      <c r="R110" s="1">
        <v>3.0000000000000001E-3</v>
      </c>
      <c r="S110" s="1">
        <v>4.0000000000000001E-3</v>
      </c>
      <c r="T110" s="1">
        <v>0.22600000000000001</v>
      </c>
      <c r="U110" s="1">
        <v>0.23599999999999999</v>
      </c>
      <c r="V110" s="1">
        <v>1E-3</v>
      </c>
      <c r="W110" s="1">
        <v>1E-3</v>
      </c>
      <c r="X110" s="1">
        <v>5.0000000000000001E-3</v>
      </c>
      <c r="Y110" s="1">
        <v>7.0000000000000001E-3</v>
      </c>
      <c r="Z110" s="1">
        <v>3.0000000000000001E-3</v>
      </c>
      <c r="AA110" s="1">
        <v>5.0000000000000001E-3</v>
      </c>
      <c r="AB110" s="1">
        <v>0.54500000000000004</v>
      </c>
      <c r="AC110" s="1">
        <v>0.55700000000000005</v>
      </c>
      <c r="AD110" s="1">
        <v>0</v>
      </c>
      <c r="AE110" s="1">
        <v>0</v>
      </c>
    </row>
    <row r="111" spans="1:31" x14ac:dyDescent="0.25">
      <c r="A111" t="str">
        <f>B111&amp;VLOOKUP(D111, Lookups!$E$2:$F$8,2,FALSE)&amp;C111</f>
        <v>ProstateIP &amp; OPEarly</v>
      </c>
      <c r="B111" t="s">
        <v>21</v>
      </c>
      <c r="C111" t="s">
        <v>38</v>
      </c>
      <c r="D111" t="s">
        <v>32</v>
      </c>
      <c r="E111" s="1">
        <v>0.20627954085077652</v>
      </c>
      <c r="F111" s="1">
        <v>4.0513166779203242E-3</v>
      </c>
      <c r="G111" s="1">
        <v>0.18787981093855502</v>
      </c>
      <c r="H111" s="1">
        <v>2.3632680621201892E-3</v>
      </c>
      <c r="I111" s="1">
        <v>4.5577312626603646E-3</v>
      </c>
      <c r="J111" s="1">
        <v>2.7008777852802163E-3</v>
      </c>
      <c r="K111" s="1">
        <v>0.59166103983794738</v>
      </c>
      <c r="L111" s="1">
        <v>5.0641458474004052E-4</v>
      </c>
      <c r="M111" s="1">
        <v>0</v>
      </c>
      <c r="N111" s="2">
        <v>5924</v>
      </c>
      <c r="P111" s="1">
        <v>0.19600000000000001</v>
      </c>
      <c r="Q111" s="1">
        <v>0.217</v>
      </c>
      <c r="R111" s="1">
        <v>3.0000000000000001E-3</v>
      </c>
      <c r="S111" s="1">
        <v>6.0000000000000001E-3</v>
      </c>
      <c r="T111" s="1">
        <v>0.17799999999999999</v>
      </c>
      <c r="U111" s="1">
        <v>0.19800000000000001</v>
      </c>
      <c r="V111" s="1">
        <v>1E-3</v>
      </c>
      <c r="W111" s="1">
        <v>4.0000000000000001E-3</v>
      </c>
      <c r="X111" s="1">
        <v>3.0000000000000001E-3</v>
      </c>
      <c r="Y111" s="1">
        <v>7.0000000000000001E-3</v>
      </c>
      <c r="Z111" s="1">
        <v>2E-3</v>
      </c>
      <c r="AA111" s="1">
        <v>4.0000000000000001E-3</v>
      </c>
      <c r="AB111" s="1">
        <v>0.57899999999999996</v>
      </c>
      <c r="AC111" s="1">
        <v>0.60399999999999998</v>
      </c>
      <c r="AD111" s="1">
        <v>0</v>
      </c>
      <c r="AE111" s="1">
        <v>1E-3</v>
      </c>
    </row>
    <row r="112" spans="1:31" x14ac:dyDescent="0.25">
      <c r="A112" t="str">
        <f>B112&amp;VLOOKUP(D112, Lookups!$E$2:$F$8,2,FALSE)&amp;C112</f>
        <v>ProstateEmergency presentationEarly</v>
      </c>
      <c r="B112" t="s">
        <v>21</v>
      </c>
      <c r="C112" t="s">
        <v>38</v>
      </c>
      <c r="D112" t="s">
        <v>33</v>
      </c>
      <c r="E112" s="1">
        <v>0.12418687167356594</v>
      </c>
      <c r="F112" s="1">
        <v>6.5050266114725017E-3</v>
      </c>
      <c r="G112" s="1">
        <v>0.1797752808988764</v>
      </c>
      <c r="H112" s="1">
        <v>1.1827321111768185E-3</v>
      </c>
      <c r="I112" s="1">
        <v>1.7740981667652277E-3</v>
      </c>
      <c r="J112" s="1">
        <v>3.5481963335304554E-3</v>
      </c>
      <c r="K112" s="1">
        <v>0.68302779420461268</v>
      </c>
      <c r="L112" s="1">
        <v>0</v>
      </c>
      <c r="M112" s="1">
        <v>0</v>
      </c>
      <c r="N112" s="2">
        <v>1691</v>
      </c>
      <c r="P112" s="1">
        <v>0.109</v>
      </c>
      <c r="Q112" s="1">
        <v>0.14099999999999999</v>
      </c>
      <c r="R112" s="1">
        <v>4.0000000000000001E-3</v>
      </c>
      <c r="S112" s="1">
        <v>1.2E-2</v>
      </c>
      <c r="T112" s="1">
        <v>0.16200000000000001</v>
      </c>
      <c r="U112" s="1">
        <v>0.19900000000000001</v>
      </c>
      <c r="V112" s="1">
        <v>0</v>
      </c>
      <c r="W112" s="1">
        <v>4.0000000000000001E-3</v>
      </c>
      <c r="X112" s="1">
        <v>1E-3</v>
      </c>
      <c r="Y112" s="1">
        <v>5.0000000000000001E-3</v>
      </c>
      <c r="Z112" s="1">
        <v>2E-3</v>
      </c>
      <c r="AA112" s="1">
        <v>8.0000000000000002E-3</v>
      </c>
      <c r="AB112" s="1">
        <v>0.66</v>
      </c>
      <c r="AC112" s="1">
        <v>0.70499999999999996</v>
      </c>
      <c r="AD112" s="1">
        <v>0</v>
      </c>
      <c r="AE112" s="1">
        <v>2E-3</v>
      </c>
    </row>
    <row r="113" spans="1:31" x14ac:dyDescent="0.25">
      <c r="A113" t="str">
        <f>B113&amp;VLOOKUP(D113, Lookups!$E$2:$F$8,2,FALSE)&amp;C113</f>
        <v>ProstateUnknownEarly</v>
      </c>
      <c r="B113" t="s">
        <v>21</v>
      </c>
      <c r="C113" t="s">
        <v>38</v>
      </c>
      <c r="D113" t="s">
        <v>4</v>
      </c>
      <c r="E113" s="1">
        <v>0.21773612112472962</v>
      </c>
      <c r="F113" s="1">
        <v>5.0468637346791634E-3</v>
      </c>
      <c r="G113" s="1">
        <v>0.1658255227108868</v>
      </c>
      <c r="H113" s="1">
        <v>7.2098053352559477E-4</v>
      </c>
      <c r="I113" s="1">
        <v>2.1629416005767843E-3</v>
      </c>
      <c r="J113" s="1">
        <v>2.1629416005767843E-3</v>
      </c>
      <c r="K113" s="1">
        <v>0.60634462869502526</v>
      </c>
      <c r="L113" s="1" t="s">
        <v>137</v>
      </c>
      <c r="M113" s="1">
        <v>0</v>
      </c>
      <c r="N113" s="2">
        <v>1387</v>
      </c>
      <c r="P113" s="1">
        <v>0.19700000000000001</v>
      </c>
      <c r="Q113" s="1">
        <v>0.24</v>
      </c>
      <c r="R113" s="1">
        <v>2E-3</v>
      </c>
      <c r="S113" s="1">
        <v>0.01</v>
      </c>
      <c r="T113" s="1">
        <v>0.14699999999999999</v>
      </c>
      <c r="U113" s="1">
        <v>0.186</v>
      </c>
      <c r="V113" s="1">
        <v>0</v>
      </c>
      <c r="W113" s="1">
        <v>4.0000000000000001E-3</v>
      </c>
      <c r="X113" s="1">
        <v>1E-3</v>
      </c>
      <c r="Y113" s="1">
        <v>6.0000000000000001E-3</v>
      </c>
      <c r="Z113" s="1">
        <v>1E-3</v>
      </c>
      <c r="AA113" s="1">
        <v>6.0000000000000001E-3</v>
      </c>
      <c r="AB113" s="1">
        <v>0.57999999999999996</v>
      </c>
      <c r="AC113" s="1">
        <v>0.63200000000000001</v>
      </c>
      <c r="AD113" s="1"/>
      <c r="AE113" s="1"/>
    </row>
    <row r="114" spans="1:31" x14ac:dyDescent="0.25">
      <c r="A114" t="str">
        <f>B114&amp;VLOOKUP(D114, Lookups!$E$2:$F$8,2,FALSE)&amp;C114</f>
        <v>ProstateAll RoutesEarly</v>
      </c>
      <c r="B114" t="s">
        <v>21</v>
      </c>
      <c r="C114" t="s">
        <v>38</v>
      </c>
      <c r="D114" t="s">
        <v>34</v>
      </c>
      <c r="E114" s="1">
        <v>0.1774257886513978</v>
      </c>
      <c r="F114" s="1">
        <v>3.7230329421932655E-3</v>
      </c>
      <c r="G114" s="1">
        <v>0.25673968686633647</v>
      </c>
      <c r="H114" s="1">
        <v>9.1413755277066787E-4</v>
      </c>
      <c r="I114" s="1">
        <v>5.2188943921816309E-3</v>
      </c>
      <c r="J114" s="1">
        <v>4.1551706944121265E-3</v>
      </c>
      <c r="K114" s="1">
        <v>0.55170694412126453</v>
      </c>
      <c r="L114" s="1">
        <v>1.1634477944353955E-4</v>
      </c>
      <c r="M114" s="1">
        <v>0</v>
      </c>
      <c r="N114" s="2">
        <v>60166</v>
      </c>
      <c r="P114" s="1">
        <v>0.17399999999999999</v>
      </c>
      <c r="Q114" s="1">
        <v>0.18</v>
      </c>
      <c r="R114" s="1">
        <v>3.0000000000000001E-3</v>
      </c>
      <c r="S114" s="1">
        <v>4.0000000000000001E-3</v>
      </c>
      <c r="T114" s="1">
        <v>0.253</v>
      </c>
      <c r="U114" s="1">
        <v>0.26</v>
      </c>
      <c r="V114" s="1">
        <v>1E-3</v>
      </c>
      <c r="W114" s="1">
        <v>1E-3</v>
      </c>
      <c r="X114" s="1">
        <v>5.0000000000000001E-3</v>
      </c>
      <c r="Y114" s="1">
        <v>6.0000000000000001E-3</v>
      </c>
      <c r="Z114" s="1">
        <v>4.0000000000000001E-3</v>
      </c>
      <c r="AA114" s="1">
        <v>5.0000000000000001E-3</v>
      </c>
      <c r="AB114" s="1">
        <v>0.54800000000000004</v>
      </c>
      <c r="AC114" s="1">
        <v>0.55600000000000005</v>
      </c>
      <c r="AD114" s="1">
        <v>0</v>
      </c>
      <c r="AE114" s="1">
        <v>0</v>
      </c>
    </row>
    <row r="115" spans="1:31" x14ac:dyDescent="0.25">
      <c r="A115" t="str">
        <f>B115&amp;VLOOKUP(D115, Lookups!$E$2:$F$8,2,FALSE)&amp;C115</f>
        <v>ProstateScreen detectedLate</v>
      </c>
      <c r="B115" t="s">
        <v>21</v>
      </c>
      <c r="C115" t="s">
        <v>39</v>
      </c>
      <c r="D115" t="s">
        <v>30</v>
      </c>
      <c r="E115" s="1" t="s">
        <v>137</v>
      </c>
      <c r="F115" s="1" t="s">
        <v>137</v>
      </c>
      <c r="G115" s="1" t="s">
        <v>137</v>
      </c>
      <c r="H115" s="1" t="s">
        <v>137</v>
      </c>
      <c r="I115" s="1" t="s">
        <v>137</v>
      </c>
      <c r="J115" s="1" t="s">
        <v>137</v>
      </c>
      <c r="K115" s="1" t="s">
        <v>137</v>
      </c>
      <c r="L115" s="1" t="s">
        <v>137</v>
      </c>
      <c r="M115" s="1">
        <v>0</v>
      </c>
      <c r="N115" s="2">
        <v>0</v>
      </c>
      <c r="P115" s="1"/>
      <c r="Q115" s="1"/>
      <c r="R115" s="1"/>
      <c r="S115" s="1"/>
      <c r="T115" s="1"/>
      <c r="U115" s="1"/>
      <c r="V115" s="1"/>
      <c r="W115" s="1"/>
      <c r="X115" s="1"/>
      <c r="Y115" s="1"/>
      <c r="Z115" s="1"/>
      <c r="AA115" s="1"/>
      <c r="AB115" s="1"/>
      <c r="AC115" s="1"/>
      <c r="AD115" s="1"/>
      <c r="AE115" s="1"/>
    </row>
    <row r="116" spans="1:31" x14ac:dyDescent="0.25">
      <c r="A116" t="str">
        <f>B116&amp;VLOOKUP(D116, Lookups!$E$2:$F$8,2,FALSE)&amp;C116</f>
        <v>ProstateTwo Week WaitLate</v>
      </c>
      <c r="B116" t="s">
        <v>21</v>
      </c>
      <c r="C116" t="s">
        <v>39</v>
      </c>
      <c r="D116" t="s">
        <v>31</v>
      </c>
      <c r="E116" s="1">
        <v>8.6631323716763242E-2</v>
      </c>
      <c r="F116" s="1">
        <v>4.4260880286031312E-2</v>
      </c>
      <c r="G116" s="1">
        <v>0.38051206180906588</v>
      </c>
      <c r="H116" s="1">
        <v>1.0274113344018411E-3</v>
      </c>
      <c r="I116" s="1">
        <v>2.1904409649447253E-2</v>
      </c>
      <c r="J116" s="1">
        <v>3.4562117289277938E-2</v>
      </c>
      <c r="K116" s="1">
        <v>0.43073192783462788</v>
      </c>
      <c r="L116" s="1">
        <v>3.6986808038466282E-4</v>
      </c>
      <c r="M116" s="1">
        <v>0</v>
      </c>
      <c r="N116" s="2">
        <v>24333</v>
      </c>
      <c r="P116" s="1">
        <v>8.3000000000000004E-2</v>
      </c>
      <c r="Q116" s="1">
        <v>0.09</v>
      </c>
      <c r="R116" s="1">
        <v>4.2000000000000003E-2</v>
      </c>
      <c r="S116" s="1">
        <v>4.7E-2</v>
      </c>
      <c r="T116" s="1">
        <v>0.374</v>
      </c>
      <c r="U116" s="1">
        <v>0.38700000000000001</v>
      </c>
      <c r="V116" s="1">
        <v>1E-3</v>
      </c>
      <c r="W116" s="1">
        <v>2E-3</v>
      </c>
      <c r="X116" s="1">
        <v>0.02</v>
      </c>
      <c r="Y116" s="1">
        <v>2.4E-2</v>
      </c>
      <c r="Z116" s="1">
        <v>3.2000000000000001E-2</v>
      </c>
      <c r="AA116" s="1">
        <v>3.6999999999999998E-2</v>
      </c>
      <c r="AB116" s="1">
        <v>0.42499999999999999</v>
      </c>
      <c r="AC116" s="1">
        <v>0.437</v>
      </c>
      <c r="AD116" s="1">
        <v>0</v>
      </c>
      <c r="AE116" s="1">
        <v>1E-3</v>
      </c>
    </row>
    <row r="117" spans="1:31" x14ac:dyDescent="0.25">
      <c r="A117" t="str">
        <f>B117&amp;VLOOKUP(D117, Lookups!$E$2:$F$8,2,FALSE)&amp;C117</f>
        <v>ProstateGP referralLate</v>
      </c>
      <c r="B117" t="s">
        <v>21</v>
      </c>
      <c r="C117" t="s">
        <v>39</v>
      </c>
      <c r="D117" t="s">
        <v>2</v>
      </c>
      <c r="E117" s="1">
        <v>0.1916340758374426</v>
      </c>
      <c r="F117" s="1">
        <v>2.7206257439211019E-2</v>
      </c>
      <c r="G117" s="1">
        <v>0.35453154225471861</v>
      </c>
      <c r="H117" s="1">
        <v>5.9513688148274098E-4</v>
      </c>
      <c r="I117" s="1">
        <v>3.5538173779969394E-2</v>
      </c>
      <c r="J117" s="1">
        <v>2.3210338377826899E-2</v>
      </c>
      <c r="K117" s="1">
        <v>0.36677435810236353</v>
      </c>
      <c r="L117" s="1">
        <v>5.1011732698520663E-4</v>
      </c>
      <c r="M117" s="1">
        <v>0</v>
      </c>
      <c r="N117" s="2">
        <v>11762</v>
      </c>
      <c r="P117" s="1">
        <v>0.185</v>
      </c>
      <c r="Q117" s="1">
        <v>0.19900000000000001</v>
      </c>
      <c r="R117" s="1">
        <v>2.4E-2</v>
      </c>
      <c r="S117" s="1">
        <v>0.03</v>
      </c>
      <c r="T117" s="1">
        <v>0.34599999999999997</v>
      </c>
      <c r="U117" s="1">
        <v>0.36299999999999999</v>
      </c>
      <c r="V117" s="1">
        <v>0</v>
      </c>
      <c r="W117" s="1">
        <v>1E-3</v>
      </c>
      <c r="X117" s="1">
        <v>3.2000000000000001E-2</v>
      </c>
      <c r="Y117" s="1">
        <v>3.9E-2</v>
      </c>
      <c r="Z117" s="1">
        <v>2.1000000000000001E-2</v>
      </c>
      <c r="AA117" s="1">
        <v>2.5999999999999999E-2</v>
      </c>
      <c r="AB117" s="1">
        <v>0.35799999999999998</v>
      </c>
      <c r="AC117" s="1">
        <v>0.376</v>
      </c>
      <c r="AD117" s="1">
        <v>0</v>
      </c>
      <c r="AE117" s="1">
        <v>1E-3</v>
      </c>
    </row>
    <row r="118" spans="1:31" x14ac:dyDescent="0.25">
      <c r="A118" t="str">
        <f>B118&amp;VLOOKUP(D118, Lookups!$E$2:$F$8,2,FALSE)&amp;C118</f>
        <v>ProstateIP &amp; OPLate</v>
      </c>
      <c r="B118" t="s">
        <v>21</v>
      </c>
      <c r="C118" t="s">
        <v>39</v>
      </c>
      <c r="D118" t="s">
        <v>32</v>
      </c>
      <c r="E118" s="1">
        <v>0.1646471846044191</v>
      </c>
      <c r="F118" s="1">
        <v>3.4925160370634353E-2</v>
      </c>
      <c r="G118" s="1">
        <v>0.30933713471133284</v>
      </c>
      <c r="H118" s="1">
        <v>2.1382751247327157E-3</v>
      </c>
      <c r="I118" s="1">
        <v>2.2095509622238062E-2</v>
      </c>
      <c r="J118" s="1">
        <v>2.4946543121881683E-2</v>
      </c>
      <c r="K118" s="1">
        <v>0.44155381325730575</v>
      </c>
      <c r="L118" s="1">
        <v>3.5637918745545262E-4</v>
      </c>
      <c r="M118" s="1">
        <v>0</v>
      </c>
      <c r="N118" s="2">
        <v>2806</v>
      </c>
      <c r="P118" s="1">
        <v>0.151</v>
      </c>
      <c r="Q118" s="1">
        <v>0.17899999999999999</v>
      </c>
      <c r="R118" s="1">
        <v>2.9000000000000001E-2</v>
      </c>
      <c r="S118" s="1">
        <v>4.2000000000000003E-2</v>
      </c>
      <c r="T118" s="1">
        <v>0.29299999999999998</v>
      </c>
      <c r="U118" s="1">
        <v>0.32700000000000001</v>
      </c>
      <c r="V118" s="1">
        <v>1E-3</v>
      </c>
      <c r="W118" s="1">
        <v>5.0000000000000001E-3</v>
      </c>
      <c r="X118" s="1">
        <v>1.7000000000000001E-2</v>
      </c>
      <c r="Y118" s="1">
        <v>2.8000000000000001E-2</v>
      </c>
      <c r="Z118" s="1">
        <v>0.02</v>
      </c>
      <c r="AA118" s="1">
        <v>3.1E-2</v>
      </c>
      <c r="AB118" s="1">
        <v>0.42299999999999999</v>
      </c>
      <c r="AC118" s="1">
        <v>0.46</v>
      </c>
      <c r="AD118" s="1">
        <v>0</v>
      </c>
      <c r="AE118" s="1">
        <v>2E-3</v>
      </c>
    </row>
    <row r="119" spans="1:31" x14ac:dyDescent="0.25">
      <c r="A119" t="str">
        <f>B119&amp;VLOOKUP(D119, Lookups!$E$2:$F$8,2,FALSE)&amp;C119</f>
        <v>ProstateEmergency presentationLate</v>
      </c>
      <c r="B119" t="s">
        <v>21</v>
      </c>
      <c r="C119" t="s">
        <v>39</v>
      </c>
      <c r="D119" t="s">
        <v>33</v>
      </c>
      <c r="E119" s="1">
        <v>1.6101331043366252E-2</v>
      </c>
      <c r="F119" s="1">
        <v>4.0575354229282955E-2</v>
      </c>
      <c r="G119" s="1">
        <v>0.21876341777586947</v>
      </c>
      <c r="H119" s="1">
        <v>2.1468441391155003E-4</v>
      </c>
      <c r="I119" s="1">
        <v>2.1468441391155001E-3</v>
      </c>
      <c r="J119" s="1">
        <v>4.1863460712752251E-2</v>
      </c>
      <c r="K119" s="1">
        <v>0.68012022327179045</v>
      </c>
      <c r="L119" s="1">
        <v>2.1468441391155003E-4</v>
      </c>
      <c r="M119" s="1">
        <v>0</v>
      </c>
      <c r="N119" s="2">
        <v>4658</v>
      </c>
      <c r="P119" s="1">
        <v>1.2999999999999999E-2</v>
      </c>
      <c r="Q119" s="1">
        <v>0.02</v>
      </c>
      <c r="R119" s="1">
        <v>3.5000000000000003E-2</v>
      </c>
      <c r="S119" s="1">
        <v>4.7E-2</v>
      </c>
      <c r="T119" s="1">
        <v>0.20699999999999999</v>
      </c>
      <c r="U119" s="1">
        <v>0.23100000000000001</v>
      </c>
      <c r="V119" s="1">
        <v>0</v>
      </c>
      <c r="W119" s="1">
        <v>1E-3</v>
      </c>
      <c r="X119" s="1">
        <v>1E-3</v>
      </c>
      <c r="Y119" s="1">
        <v>4.0000000000000001E-3</v>
      </c>
      <c r="Z119" s="1">
        <v>3.5999999999999997E-2</v>
      </c>
      <c r="AA119" s="1">
        <v>4.8000000000000001E-2</v>
      </c>
      <c r="AB119" s="1">
        <v>0.66700000000000004</v>
      </c>
      <c r="AC119" s="1">
        <v>0.69299999999999995</v>
      </c>
      <c r="AD119" s="1">
        <v>0</v>
      </c>
      <c r="AE119" s="1">
        <v>1E-3</v>
      </c>
    </row>
    <row r="120" spans="1:31" x14ac:dyDescent="0.25">
      <c r="A120" t="str">
        <f>B120&amp;VLOOKUP(D120, Lookups!$E$2:$F$8,2,FALSE)&amp;C120</f>
        <v>ProstateUnknownLate</v>
      </c>
      <c r="B120" t="s">
        <v>21</v>
      </c>
      <c r="C120" t="s">
        <v>39</v>
      </c>
      <c r="D120" t="s">
        <v>4</v>
      </c>
      <c r="E120" s="1">
        <v>0.20551090700344432</v>
      </c>
      <c r="F120" s="1">
        <v>3.0998851894374284E-2</v>
      </c>
      <c r="G120" s="1">
        <v>0.27439724454649828</v>
      </c>
      <c r="H120" s="1">
        <v>0</v>
      </c>
      <c r="I120" s="1">
        <v>3.6739380022962113E-2</v>
      </c>
      <c r="J120" s="1">
        <v>2.7554535017221583E-2</v>
      </c>
      <c r="K120" s="1">
        <v>0.42479908151549944</v>
      </c>
      <c r="L120" s="1" t="s">
        <v>137</v>
      </c>
      <c r="M120" s="1">
        <v>0</v>
      </c>
      <c r="N120" s="2">
        <v>871</v>
      </c>
      <c r="P120" s="1">
        <v>0.18</v>
      </c>
      <c r="Q120" s="1">
        <v>0.23400000000000001</v>
      </c>
      <c r="R120" s="1">
        <v>2.1000000000000001E-2</v>
      </c>
      <c r="S120" s="1">
        <v>4.4999999999999998E-2</v>
      </c>
      <c r="T120" s="1">
        <v>0.246</v>
      </c>
      <c r="U120" s="1">
        <v>0.30499999999999999</v>
      </c>
      <c r="V120" s="1">
        <v>0</v>
      </c>
      <c r="W120" s="1">
        <v>4.0000000000000001E-3</v>
      </c>
      <c r="X120" s="1">
        <v>2.5999999999999999E-2</v>
      </c>
      <c r="Y120" s="1">
        <v>5.0999999999999997E-2</v>
      </c>
      <c r="Z120" s="1">
        <v>1.9E-2</v>
      </c>
      <c r="AA120" s="1">
        <v>4.1000000000000002E-2</v>
      </c>
      <c r="AB120" s="1">
        <v>0.39200000000000002</v>
      </c>
      <c r="AC120" s="1">
        <v>0.45800000000000002</v>
      </c>
      <c r="AD120" s="1"/>
      <c r="AE120" s="1"/>
    </row>
    <row r="121" spans="1:31" x14ac:dyDescent="0.25">
      <c r="A121" t="str">
        <f>B121&amp;VLOOKUP(D121, Lookups!$E$2:$F$8,2,FALSE)&amp;C121</f>
        <v>ProstateAll RoutesLate</v>
      </c>
      <c r="B121" t="s">
        <v>21</v>
      </c>
      <c r="C121" t="s">
        <v>39</v>
      </c>
      <c r="D121" t="s">
        <v>34</v>
      </c>
      <c r="E121" s="1">
        <v>0.11429214494710781</v>
      </c>
      <c r="F121" s="1">
        <v>3.8510015755120412E-2</v>
      </c>
      <c r="G121" s="1">
        <v>0.35010128291694803</v>
      </c>
      <c r="H121" s="1">
        <v>8.7778528021607025E-4</v>
      </c>
      <c r="I121" s="1">
        <v>2.3745217195588565E-2</v>
      </c>
      <c r="J121" s="1">
        <v>3.157776277290119E-2</v>
      </c>
      <c r="K121" s="1">
        <v>0.44051316677920321</v>
      </c>
      <c r="L121" s="1">
        <v>3.8262435291469728E-4</v>
      </c>
      <c r="M121" s="1">
        <v>0</v>
      </c>
      <c r="N121" s="2">
        <v>44430</v>
      </c>
      <c r="P121" s="1">
        <v>0.111</v>
      </c>
      <c r="Q121" s="1">
        <v>0.11700000000000001</v>
      </c>
      <c r="R121" s="1">
        <v>3.6999999999999998E-2</v>
      </c>
      <c r="S121" s="1">
        <v>0.04</v>
      </c>
      <c r="T121" s="1">
        <v>0.34599999999999997</v>
      </c>
      <c r="U121" s="1">
        <v>0.35499999999999998</v>
      </c>
      <c r="V121" s="1">
        <v>1E-3</v>
      </c>
      <c r="W121" s="1">
        <v>1E-3</v>
      </c>
      <c r="X121" s="1">
        <v>2.1999999999999999E-2</v>
      </c>
      <c r="Y121" s="1">
        <v>2.5000000000000001E-2</v>
      </c>
      <c r="Z121" s="1">
        <v>0.03</v>
      </c>
      <c r="AA121" s="1">
        <v>3.3000000000000002E-2</v>
      </c>
      <c r="AB121" s="1">
        <v>0.436</v>
      </c>
      <c r="AC121" s="1">
        <v>0.44500000000000001</v>
      </c>
      <c r="AD121" s="1">
        <v>0</v>
      </c>
      <c r="AE121" s="1">
        <v>1E-3</v>
      </c>
    </row>
    <row r="122" spans="1:31" x14ac:dyDescent="0.25">
      <c r="A122" t="str">
        <f>B122&amp;VLOOKUP(D122, Lookups!$E$2:$F$8,2,FALSE)&amp;C122</f>
        <v>ProstateScreen detectedUnknown</v>
      </c>
      <c r="B122" t="s">
        <v>21</v>
      </c>
      <c r="C122" t="s">
        <v>4</v>
      </c>
      <c r="D122" t="s">
        <v>30</v>
      </c>
      <c r="E122" s="1" t="s">
        <v>137</v>
      </c>
      <c r="F122" s="1" t="s">
        <v>137</v>
      </c>
      <c r="G122" s="1" t="s">
        <v>137</v>
      </c>
      <c r="H122" s="1" t="s">
        <v>137</v>
      </c>
      <c r="I122" s="1" t="s">
        <v>137</v>
      </c>
      <c r="J122" s="1" t="s">
        <v>137</v>
      </c>
      <c r="K122" s="1" t="s">
        <v>137</v>
      </c>
      <c r="L122" s="1" t="s">
        <v>137</v>
      </c>
      <c r="M122" s="1">
        <v>0</v>
      </c>
      <c r="N122" s="2">
        <v>0</v>
      </c>
      <c r="P122" s="1"/>
      <c r="Q122" s="1"/>
      <c r="R122" s="1"/>
      <c r="S122" s="1"/>
      <c r="T122" s="1"/>
      <c r="U122" s="1"/>
      <c r="V122" s="1"/>
      <c r="W122" s="1"/>
      <c r="X122" s="1"/>
      <c r="Y122" s="1"/>
      <c r="Z122" s="1"/>
      <c r="AA122" s="1"/>
      <c r="AB122" s="1"/>
      <c r="AC122" s="1"/>
      <c r="AD122" s="1"/>
      <c r="AE122" s="1"/>
    </row>
    <row r="123" spans="1:31" x14ac:dyDescent="0.25">
      <c r="A123" t="str">
        <f>B123&amp;VLOOKUP(D123, Lookups!$E$2:$F$8,2,FALSE)&amp;C123</f>
        <v>ProstateTwo Week WaitUnknown</v>
      </c>
      <c r="B123" t="s">
        <v>21</v>
      </c>
      <c r="C123" t="s">
        <v>4</v>
      </c>
      <c r="D123" t="s">
        <v>31</v>
      </c>
      <c r="E123" s="1">
        <v>6.5994862675360602E-2</v>
      </c>
      <c r="F123" s="1">
        <v>1.5411973918197985E-2</v>
      </c>
      <c r="G123" s="1">
        <v>0.1715076071922545</v>
      </c>
      <c r="H123" s="1">
        <v>5.9276822762299936E-4</v>
      </c>
      <c r="I123" s="1">
        <v>3.5566093657379964E-3</v>
      </c>
      <c r="J123" s="1">
        <v>1.0077059869590991E-2</v>
      </c>
      <c r="K123" s="1">
        <v>0.73285911875123488</v>
      </c>
      <c r="L123" s="1">
        <v>0</v>
      </c>
      <c r="M123" s="1">
        <v>0</v>
      </c>
      <c r="N123" s="2">
        <v>5061</v>
      </c>
      <c r="P123" s="1">
        <v>5.8999999999999997E-2</v>
      </c>
      <c r="Q123" s="1">
        <v>7.2999999999999995E-2</v>
      </c>
      <c r="R123" s="1">
        <v>1.2E-2</v>
      </c>
      <c r="S123" s="1">
        <v>1.9E-2</v>
      </c>
      <c r="T123" s="1">
        <v>0.161</v>
      </c>
      <c r="U123" s="1">
        <v>0.182</v>
      </c>
      <c r="V123" s="1">
        <v>0</v>
      </c>
      <c r="W123" s="1">
        <v>2E-3</v>
      </c>
      <c r="X123" s="1">
        <v>2E-3</v>
      </c>
      <c r="Y123" s="1">
        <v>6.0000000000000001E-3</v>
      </c>
      <c r="Z123" s="1">
        <v>8.0000000000000002E-3</v>
      </c>
      <c r="AA123" s="1">
        <v>1.2999999999999999E-2</v>
      </c>
      <c r="AB123" s="1">
        <v>0.72</v>
      </c>
      <c r="AC123" s="1">
        <v>0.745</v>
      </c>
      <c r="AD123" s="1">
        <v>0</v>
      </c>
      <c r="AE123" s="1">
        <v>1E-3</v>
      </c>
    </row>
    <row r="124" spans="1:31" x14ac:dyDescent="0.25">
      <c r="A124" t="str">
        <f>B124&amp;VLOOKUP(D124, Lookups!$E$2:$F$8,2,FALSE)&amp;C124</f>
        <v>ProstateGP referralUnknown</v>
      </c>
      <c r="B124" t="s">
        <v>21</v>
      </c>
      <c r="C124" t="s">
        <v>4</v>
      </c>
      <c r="D124" t="s">
        <v>2</v>
      </c>
      <c r="E124" s="1">
        <v>0.13661774982529701</v>
      </c>
      <c r="F124" s="1">
        <v>1.5024458420684835E-2</v>
      </c>
      <c r="G124" s="1">
        <v>0.16194968553459119</v>
      </c>
      <c r="H124" s="1">
        <v>6.9881201956673651E-4</v>
      </c>
      <c r="I124" s="1">
        <v>6.2893081761006293E-3</v>
      </c>
      <c r="J124" s="1">
        <v>1.013277428371768E-2</v>
      </c>
      <c r="K124" s="1">
        <v>0.66911250873515027</v>
      </c>
      <c r="L124" s="1">
        <v>1.7470300489168413E-4</v>
      </c>
      <c r="M124" s="1">
        <v>0</v>
      </c>
      <c r="N124" s="2">
        <v>5724</v>
      </c>
      <c r="P124" s="1">
        <v>0.128</v>
      </c>
      <c r="Q124" s="1">
        <v>0.14599999999999999</v>
      </c>
      <c r="R124" s="1">
        <v>1.2E-2</v>
      </c>
      <c r="S124" s="1">
        <v>1.9E-2</v>
      </c>
      <c r="T124" s="1">
        <v>0.153</v>
      </c>
      <c r="U124" s="1">
        <v>0.17199999999999999</v>
      </c>
      <c r="V124" s="1">
        <v>0</v>
      </c>
      <c r="W124" s="1">
        <v>2E-3</v>
      </c>
      <c r="X124" s="1">
        <v>5.0000000000000001E-3</v>
      </c>
      <c r="Y124" s="1">
        <v>8.9999999999999993E-3</v>
      </c>
      <c r="Z124" s="1">
        <v>8.0000000000000002E-3</v>
      </c>
      <c r="AA124" s="1">
        <v>1.2999999999999999E-2</v>
      </c>
      <c r="AB124" s="1">
        <v>0.65700000000000003</v>
      </c>
      <c r="AC124" s="1">
        <v>0.68100000000000005</v>
      </c>
      <c r="AD124" s="1">
        <v>0</v>
      </c>
      <c r="AE124" s="1">
        <v>1E-3</v>
      </c>
    </row>
    <row r="125" spans="1:31" x14ac:dyDescent="0.25">
      <c r="A125" t="str">
        <f>B125&amp;VLOOKUP(D125, Lookups!$E$2:$F$8,2,FALSE)&amp;C125</f>
        <v>ProstateIP &amp; OPUnknown</v>
      </c>
      <c r="B125" t="s">
        <v>21</v>
      </c>
      <c r="C125" t="s">
        <v>4</v>
      </c>
      <c r="D125" t="s">
        <v>32</v>
      </c>
      <c r="E125" s="1">
        <v>0.15037194473963869</v>
      </c>
      <c r="F125" s="1">
        <v>2.2848034006376194E-2</v>
      </c>
      <c r="G125" s="1">
        <v>0.13443145589798086</v>
      </c>
      <c r="H125" s="1">
        <v>1.0626992561105207E-3</v>
      </c>
      <c r="I125" s="1">
        <v>6.376195536663124E-3</v>
      </c>
      <c r="J125" s="1">
        <v>2.1253985122210415E-2</v>
      </c>
      <c r="K125" s="1">
        <v>0.66365568544102016</v>
      </c>
      <c r="L125" s="1">
        <v>0</v>
      </c>
      <c r="M125" s="1">
        <v>0</v>
      </c>
      <c r="N125" s="2">
        <v>1882</v>
      </c>
      <c r="P125" s="1">
        <v>0.13500000000000001</v>
      </c>
      <c r="Q125" s="1">
        <v>0.16700000000000001</v>
      </c>
      <c r="R125" s="1">
        <v>1.7000000000000001E-2</v>
      </c>
      <c r="S125" s="1">
        <v>3.1E-2</v>
      </c>
      <c r="T125" s="1">
        <v>0.12</v>
      </c>
      <c r="U125" s="1">
        <v>0.151</v>
      </c>
      <c r="V125" s="1">
        <v>0</v>
      </c>
      <c r="W125" s="1">
        <v>4.0000000000000001E-3</v>
      </c>
      <c r="X125" s="1">
        <v>4.0000000000000001E-3</v>
      </c>
      <c r="Y125" s="1">
        <v>1.0999999999999999E-2</v>
      </c>
      <c r="Z125" s="1">
        <v>1.6E-2</v>
      </c>
      <c r="AA125" s="1">
        <v>2.9000000000000001E-2</v>
      </c>
      <c r="AB125" s="1">
        <v>0.64200000000000002</v>
      </c>
      <c r="AC125" s="1">
        <v>0.68500000000000005</v>
      </c>
      <c r="AD125" s="1">
        <v>0</v>
      </c>
      <c r="AE125" s="1">
        <v>2E-3</v>
      </c>
    </row>
    <row r="126" spans="1:31" x14ac:dyDescent="0.25">
      <c r="A126" t="str">
        <f>B126&amp;VLOOKUP(D126, Lookups!$E$2:$F$8,2,FALSE)&amp;C126</f>
        <v>ProstateEmergency presentationUnknown</v>
      </c>
      <c r="B126" t="s">
        <v>21</v>
      </c>
      <c r="C126" t="s">
        <v>4</v>
      </c>
      <c r="D126" t="s">
        <v>33</v>
      </c>
      <c r="E126" s="1">
        <v>1.510989010989011E-2</v>
      </c>
      <c r="F126" s="1">
        <v>1.5453296703296704E-2</v>
      </c>
      <c r="G126" s="1">
        <v>6.4217032967032961E-2</v>
      </c>
      <c r="H126" s="1">
        <v>3.4340659340659343E-4</v>
      </c>
      <c r="I126" s="1">
        <v>3.4340659340659343E-4</v>
      </c>
      <c r="J126" s="1">
        <v>7.554945054945055E-3</v>
      </c>
      <c r="K126" s="1">
        <v>0.89697802197802201</v>
      </c>
      <c r="L126" s="1">
        <v>0</v>
      </c>
      <c r="M126" s="1">
        <v>0</v>
      </c>
      <c r="N126" s="2">
        <v>2912</v>
      </c>
      <c r="P126" s="1">
        <v>1.0999999999999999E-2</v>
      </c>
      <c r="Q126" s="1">
        <v>0.02</v>
      </c>
      <c r="R126" s="1">
        <v>1.2E-2</v>
      </c>
      <c r="S126" s="1">
        <v>2.1000000000000001E-2</v>
      </c>
      <c r="T126" s="1">
        <v>5.6000000000000001E-2</v>
      </c>
      <c r="U126" s="1">
        <v>7.3999999999999996E-2</v>
      </c>
      <c r="V126" s="1">
        <v>0</v>
      </c>
      <c r="W126" s="1">
        <v>2E-3</v>
      </c>
      <c r="X126" s="1">
        <v>0</v>
      </c>
      <c r="Y126" s="1">
        <v>2E-3</v>
      </c>
      <c r="Z126" s="1">
        <v>5.0000000000000001E-3</v>
      </c>
      <c r="AA126" s="1">
        <v>1.0999999999999999E-2</v>
      </c>
      <c r="AB126" s="1">
        <v>0.88500000000000001</v>
      </c>
      <c r="AC126" s="1">
        <v>0.90800000000000003</v>
      </c>
      <c r="AD126" s="1">
        <v>0</v>
      </c>
      <c r="AE126" s="1">
        <v>1E-3</v>
      </c>
    </row>
    <row r="127" spans="1:31" x14ac:dyDescent="0.25">
      <c r="A127" t="str">
        <f>B127&amp;VLOOKUP(D127, Lookups!$E$2:$F$8,2,FALSE)&amp;C127</f>
        <v>ProstateUnknownUnknown</v>
      </c>
      <c r="B127" t="s">
        <v>21</v>
      </c>
      <c r="C127" t="s">
        <v>4</v>
      </c>
      <c r="D127" t="s">
        <v>4</v>
      </c>
      <c r="E127" s="1">
        <v>0.18432203389830509</v>
      </c>
      <c r="F127" s="1">
        <v>4.2372881355932203E-3</v>
      </c>
      <c r="G127" s="1">
        <v>0.10522598870056497</v>
      </c>
      <c r="H127" s="1">
        <v>7.0621468926553672E-4</v>
      </c>
      <c r="I127" s="1">
        <v>8.4745762711864406E-3</v>
      </c>
      <c r="J127" s="1">
        <v>8.4745762711864406E-3</v>
      </c>
      <c r="K127" s="1">
        <v>0.68855932203389836</v>
      </c>
      <c r="L127" s="1" t="s">
        <v>137</v>
      </c>
      <c r="M127" s="1">
        <v>0</v>
      </c>
      <c r="N127" s="2">
        <v>1416</v>
      </c>
      <c r="P127" s="1">
        <v>0.16500000000000001</v>
      </c>
      <c r="Q127" s="1">
        <v>0.20499999999999999</v>
      </c>
      <c r="R127" s="1">
        <v>2E-3</v>
      </c>
      <c r="S127" s="1">
        <v>8.9999999999999993E-3</v>
      </c>
      <c r="T127" s="1">
        <v>0.09</v>
      </c>
      <c r="U127" s="1">
        <v>0.122</v>
      </c>
      <c r="V127" s="1">
        <v>0</v>
      </c>
      <c r="W127" s="1">
        <v>4.0000000000000001E-3</v>
      </c>
      <c r="X127" s="1">
        <v>5.0000000000000001E-3</v>
      </c>
      <c r="Y127" s="1">
        <v>1.4999999999999999E-2</v>
      </c>
      <c r="Z127" s="1">
        <v>5.0000000000000001E-3</v>
      </c>
      <c r="AA127" s="1">
        <v>1.4999999999999999E-2</v>
      </c>
      <c r="AB127" s="1">
        <v>0.66400000000000003</v>
      </c>
      <c r="AC127" s="1">
        <v>0.71199999999999997</v>
      </c>
      <c r="AD127" s="1"/>
      <c r="AE127" s="1"/>
    </row>
    <row r="128" spans="1:31" x14ac:dyDescent="0.25">
      <c r="A128" t="str">
        <f>B128&amp;VLOOKUP(D128, Lookups!$E$2:$F$8,2,FALSE)&amp;C128</f>
        <v>ProstateAll RoutesUnknown</v>
      </c>
      <c r="B128" t="s">
        <v>21</v>
      </c>
      <c r="C128" t="s">
        <v>4</v>
      </c>
      <c r="D128" t="s">
        <v>34</v>
      </c>
      <c r="E128" s="1">
        <v>0.10026478375992939</v>
      </c>
      <c r="F128" s="1">
        <v>1.5180935569285084E-2</v>
      </c>
      <c r="G128" s="1">
        <v>0.14027655192703736</v>
      </c>
      <c r="H128" s="1">
        <v>6.4724919093851134E-4</v>
      </c>
      <c r="I128" s="1">
        <v>4.6484260076493089E-3</v>
      </c>
      <c r="J128" s="1">
        <v>1.0767872903795234E-2</v>
      </c>
      <c r="K128" s="1">
        <v>0.72815533980582525</v>
      </c>
      <c r="L128" s="1">
        <v>5.8840835539864665E-5</v>
      </c>
      <c r="M128" s="1">
        <v>0</v>
      </c>
      <c r="N128" s="2">
        <v>16995</v>
      </c>
      <c r="P128" s="1">
        <v>9.6000000000000002E-2</v>
      </c>
      <c r="Q128" s="1">
        <v>0.105</v>
      </c>
      <c r="R128" s="1">
        <v>1.2999999999999999E-2</v>
      </c>
      <c r="S128" s="1">
        <v>1.7000000000000001E-2</v>
      </c>
      <c r="T128" s="1">
        <v>0.13500000000000001</v>
      </c>
      <c r="U128" s="1">
        <v>0.14599999999999999</v>
      </c>
      <c r="V128" s="1">
        <v>0</v>
      </c>
      <c r="W128" s="1">
        <v>1E-3</v>
      </c>
      <c r="X128" s="1">
        <v>4.0000000000000001E-3</v>
      </c>
      <c r="Y128" s="1">
        <v>6.0000000000000001E-3</v>
      </c>
      <c r="Z128" s="1">
        <v>8.9999999999999993E-3</v>
      </c>
      <c r="AA128" s="1">
        <v>1.2E-2</v>
      </c>
      <c r="AB128" s="1">
        <v>0.72099999999999997</v>
      </c>
      <c r="AC128" s="1">
        <v>0.73499999999999999</v>
      </c>
      <c r="AD128" s="1">
        <v>0</v>
      </c>
      <c r="AE128" s="1">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sheetPr>
  <dimension ref="A1:AE170"/>
  <sheetViews>
    <sheetView workbookViewId="0"/>
  </sheetViews>
  <sheetFormatPr defaultRowHeight="15" x14ac:dyDescent="0.25"/>
  <cols>
    <col min="1" max="1" width="22.42578125" bestFit="1" customWidth="1"/>
    <col min="2" max="2" width="11" bestFit="1" customWidth="1"/>
    <col min="3" max="3" width="14.140625" bestFit="1" customWidth="1"/>
    <col min="4" max="4" width="24.140625" bestFit="1" customWidth="1"/>
    <col min="5" max="5" width="21.140625" bestFit="1" customWidth="1"/>
    <col min="6" max="6" width="18.7109375" bestFit="1" customWidth="1"/>
    <col min="7" max="7" width="17.42578125" bestFit="1" customWidth="1"/>
    <col min="8" max="8" width="35.85546875" bestFit="1" customWidth="1"/>
    <col min="9" max="9" width="34.5703125" bestFit="1" customWidth="1"/>
    <col min="10" max="10" width="30.85546875" bestFit="1" customWidth="1"/>
    <col min="11" max="11" width="11" bestFit="1" customWidth="1"/>
    <col min="12" max="12" width="19.5703125" bestFit="1" customWidth="1"/>
    <col min="13" max="13" width="11" bestFit="1" customWidth="1"/>
    <col min="14" max="14" width="11.85546875" bestFit="1" customWidth="1"/>
    <col min="16" max="17" width="21.140625" bestFit="1" customWidth="1"/>
    <col min="18" max="19" width="18.7109375" bestFit="1" customWidth="1"/>
    <col min="20" max="21" width="17.42578125" bestFit="1" customWidth="1"/>
    <col min="22" max="23" width="35.85546875" bestFit="1" customWidth="1"/>
    <col min="24" max="25" width="34.5703125" bestFit="1" customWidth="1"/>
    <col min="26" max="27" width="30.85546875" bestFit="1" customWidth="1"/>
    <col min="28" max="29" width="10.28515625" bestFit="1" customWidth="1"/>
    <col min="30" max="31" width="19.5703125" bestFit="1" customWidth="1"/>
  </cols>
  <sheetData>
    <row r="1" spans="1:31" x14ac:dyDescent="0.25">
      <c r="A1" t="s">
        <v>29</v>
      </c>
      <c r="B1" t="s">
        <v>131</v>
      </c>
      <c r="C1" t="s">
        <v>131</v>
      </c>
      <c r="D1" t="s">
        <v>131</v>
      </c>
      <c r="E1" t="s">
        <v>131</v>
      </c>
      <c r="F1" t="s">
        <v>131</v>
      </c>
      <c r="G1" t="s">
        <v>131</v>
      </c>
      <c r="H1" t="s">
        <v>131</v>
      </c>
      <c r="I1" t="s">
        <v>131</v>
      </c>
      <c r="J1" t="s">
        <v>131</v>
      </c>
      <c r="K1" t="s">
        <v>131</v>
      </c>
      <c r="L1" t="s">
        <v>131</v>
      </c>
      <c r="M1" t="s">
        <v>131</v>
      </c>
      <c r="N1" t="s">
        <v>131</v>
      </c>
      <c r="P1" t="s">
        <v>132</v>
      </c>
      <c r="Q1" t="s">
        <v>133</v>
      </c>
      <c r="R1" t="s">
        <v>132</v>
      </c>
      <c r="S1" t="s">
        <v>133</v>
      </c>
      <c r="T1" t="s">
        <v>132</v>
      </c>
      <c r="U1" t="s">
        <v>133</v>
      </c>
      <c r="V1" t="s">
        <v>132</v>
      </c>
      <c r="W1" t="s">
        <v>133</v>
      </c>
      <c r="X1" t="s">
        <v>132</v>
      </c>
      <c r="Y1" t="s">
        <v>133</v>
      </c>
      <c r="Z1" t="s">
        <v>132</v>
      </c>
      <c r="AA1" t="s">
        <v>133</v>
      </c>
      <c r="AB1" t="s">
        <v>132</v>
      </c>
      <c r="AC1" t="s">
        <v>133</v>
      </c>
      <c r="AD1" t="s">
        <v>132</v>
      </c>
      <c r="AE1" t="s">
        <v>133</v>
      </c>
    </row>
    <row r="2" spans="1:31" x14ac:dyDescent="0.25">
      <c r="A2" t="s">
        <v>29</v>
      </c>
      <c r="B2" t="s">
        <v>41</v>
      </c>
      <c r="C2" t="s">
        <v>138</v>
      </c>
      <c r="D2" t="s">
        <v>37</v>
      </c>
      <c r="E2" t="s">
        <v>22</v>
      </c>
      <c r="F2" t="s">
        <v>23</v>
      </c>
      <c r="G2" t="s">
        <v>24</v>
      </c>
      <c r="H2" t="s">
        <v>25</v>
      </c>
      <c r="I2" t="s">
        <v>26</v>
      </c>
      <c r="J2" t="s">
        <v>27</v>
      </c>
      <c r="K2" t="s">
        <v>28</v>
      </c>
      <c r="L2" t="s">
        <v>134</v>
      </c>
      <c r="M2" t="s">
        <v>135</v>
      </c>
      <c r="N2" t="s">
        <v>136</v>
      </c>
      <c r="P2" t="s">
        <v>22</v>
      </c>
      <c r="Q2" t="s">
        <v>22</v>
      </c>
      <c r="R2" t="s">
        <v>23</v>
      </c>
      <c r="S2" t="s">
        <v>23</v>
      </c>
      <c r="T2" t="s">
        <v>24</v>
      </c>
      <c r="U2" t="s">
        <v>24</v>
      </c>
      <c r="V2" t="s">
        <v>25</v>
      </c>
      <c r="W2" t="s">
        <v>25</v>
      </c>
      <c r="X2" t="s">
        <v>26</v>
      </c>
      <c r="Y2" t="s">
        <v>26</v>
      </c>
      <c r="Z2" t="s">
        <v>27</v>
      </c>
      <c r="AA2" t="s">
        <v>27</v>
      </c>
      <c r="AB2" t="s">
        <v>28</v>
      </c>
      <c r="AC2" t="s">
        <v>28</v>
      </c>
      <c r="AD2" t="s">
        <v>134</v>
      </c>
      <c r="AE2" t="s">
        <v>134</v>
      </c>
    </row>
    <row r="3" spans="1:31" x14ac:dyDescent="0.25">
      <c r="A3" t="str">
        <f>B3&amp;VLOOKUP(D3, Lookups!$E$2:$F$8,2,FALSE)&amp;C3</f>
        <v>BreastScreen detected0</v>
      </c>
      <c r="B3" t="s">
        <v>16</v>
      </c>
      <c r="C3">
        <v>0</v>
      </c>
      <c r="D3" t="s">
        <v>30</v>
      </c>
      <c r="E3" s="1">
        <v>0.13998006566604126</v>
      </c>
      <c r="F3" s="1">
        <v>2.9315196998123826E-3</v>
      </c>
      <c r="G3" s="1">
        <v>1.0055112570356474E-2</v>
      </c>
      <c r="H3" s="1">
        <v>3.8637429643527205E-2</v>
      </c>
      <c r="I3" s="1">
        <v>0.58562969043151969</v>
      </c>
      <c r="J3" s="1">
        <v>3.8989212007504688E-3</v>
      </c>
      <c r="K3" s="1">
        <v>1.9318714821763602E-2</v>
      </c>
      <c r="L3" s="1">
        <v>0.1995485459662289</v>
      </c>
      <c r="M3" s="1">
        <v>1</v>
      </c>
      <c r="N3" s="2">
        <v>34112</v>
      </c>
      <c r="P3" s="1">
        <v>0.13600000000000001</v>
      </c>
      <c r="Q3" s="1">
        <v>0.14399999999999999</v>
      </c>
      <c r="R3" s="1">
        <v>2E-3</v>
      </c>
      <c r="S3" s="1">
        <v>4.0000000000000001E-3</v>
      </c>
      <c r="T3" s="1">
        <v>8.9999999999999993E-3</v>
      </c>
      <c r="U3" s="1">
        <v>1.0999999999999999E-2</v>
      </c>
      <c r="V3" s="1">
        <v>3.6999999999999998E-2</v>
      </c>
      <c r="W3" s="1">
        <v>4.1000000000000002E-2</v>
      </c>
      <c r="X3" s="1">
        <v>0.57999999999999996</v>
      </c>
      <c r="Y3" s="1">
        <v>0.59099999999999997</v>
      </c>
      <c r="Z3" s="1">
        <v>3.0000000000000001E-3</v>
      </c>
      <c r="AA3" s="1">
        <v>5.0000000000000001E-3</v>
      </c>
      <c r="AB3" s="1">
        <v>1.7999999999999999E-2</v>
      </c>
      <c r="AC3" s="1">
        <v>2.1000000000000001E-2</v>
      </c>
      <c r="AD3" s="1">
        <v>0.19500000000000001</v>
      </c>
      <c r="AE3" s="1">
        <v>0.20399999999999999</v>
      </c>
    </row>
    <row r="4" spans="1:31" x14ac:dyDescent="0.25">
      <c r="A4" t="str">
        <f>B4&amp;VLOOKUP(D4, Lookups!$E$2:$F$8,2,FALSE)&amp;C4</f>
        <v>BreastTwo Week Wait0</v>
      </c>
      <c r="B4" t="s">
        <v>16</v>
      </c>
      <c r="C4">
        <v>0</v>
      </c>
      <c r="D4" t="s">
        <v>31</v>
      </c>
      <c r="E4" s="1">
        <v>0.14401047740361328</v>
      </c>
      <c r="F4" s="1">
        <v>1.7276951506126768E-2</v>
      </c>
      <c r="G4" s="1">
        <v>9.0959651231633139E-3</v>
      </c>
      <c r="H4" s="1">
        <v>7.8329356464952732E-2</v>
      </c>
      <c r="I4" s="1">
        <v>0.26591793896553578</v>
      </c>
      <c r="J4" s="1">
        <v>1.2038249699492276E-2</v>
      </c>
      <c r="K4" s="1">
        <v>9.8315362672455553E-2</v>
      </c>
      <c r="L4" s="1">
        <v>0.37501569816466029</v>
      </c>
      <c r="M4" s="1">
        <v>1</v>
      </c>
      <c r="N4" s="2">
        <v>55739</v>
      </c>
      <c r="P4" s="1">
        <v>0.14099999999999999</v>
      </c>
      <c r="Q4" s="1">
        <v>0.14699999999999999</v>
      </c>
      <c r="R4" s="1">
        <v>1.6E-2</v>
      </c>
      <c r="S4" s="1">
        <v>1.7999999999999999E-2</v>
      </c>
      <c r="T4" s="1">
        <v>8.0000000000000002E-3</v>
      </c>
      <c r="U4" s="1">
        <v>0.01</v>
      </c>
      <c r="V4" s="1">
        <v>7.5999999999999998E-2</v>
      </c>
      <c r="W4" s="1">
        <v>8.1000000000000003E-2</v>
      </c>
      <c r="X4" s="1">
        <v>0.26200000000000001</v>
      </c>
      <c r="Y4" s="1">
        <v>0.27</v>
      </c>
      <c r="Z4" s="1">
        <v>1.0999999999999999E-2</v>
      </c>
      <c r="AA4" s="1">
        <v>1.2999999999999999E-2</v>
      </c>
      <c r="AB4" s="1">
        <v>9.6000000000000002E-2</v>
      </c>
      <c r="AC4" s="1">
        <v>0.10100000000000001</v>
      </c>
      <c r="AD4" s="1">
        <v>0.371</v>
      </c>
      <c r="AE4" s="1">
        <v>0.379</v>
      </c>
    </row>
    <row r="5" spans="1:31" x14ac:dyDescent="0.25">
      <c r="A5" t="str">
        <f>B5&amp;VLOOKUP(D5, Lookups!$E$2:$F$8,2,FALSE)&amp;C5</f>
        <v>BreastGP referral0</v>
      </c>
      <c r="B5" t="s">
        <v>16</v>
      </c>
      <c r="C5">
        <v>0</v>
      </c>
      <c r="D5" t="s">
        <v>2</v>
      </c>
      <c r="E5" s="1">
        <v>0.20393811533052039</v>
      </c>
      <c r="F5" s="1">
        <v>3.5269934004111221E-2</v>
      </c>
      <c r="G5" s="1">
        <v>5.128205128205128E-2</v>
      </c>
      <c r="H5" s="1">
        <v>7.1405387861084066E-2</v>
      </c>
      <c r="I5" s="1">
        <v>0.20404630531212808</v>
      </c>
      <c r="J5" s="1">
        <v>3.4620794114465003E-2</v>
      </c>
      <c r="K5" s="1">
        <v>0.20339716542248187</v>
      </c>
      <c r="L5" s="1">
        <v>0.19604024667315806</v>
      </c>
      <c r="M5" s="1">
        <v>1</v>
      </c>
      <c r="N5" s="2">
        <v>9243</v>
      </c>
      <c r="P5" s="1">
        <v>0.19600000000000001</v>
      </c>
      <c r="Q5" s="1">
        <v>0.21199999999999999</v>
      </c>
      <c r="R5" s="1">
        <v>3.2000000000000001E-2</v>
      </c>
      <c r="S5" s="1">
        <v>3.9E-2</v>
      </c>
      <c r="T5" s="1">
        <v>4.7E-2</v>
      </c>
      <c r="U5" s="1">
        <v>5.6000000000000001E-2</v>
      </c>
      <c r="V5" s="1">
        <v>6.6000000000000003E-2</v>
      </c>
      <c r="W5" s="1">
        <v>7.6999999999999999E-2</v>
      </c>
      <c r="X5" s="1">
        <v>0.19600000000000001</v>
      </c>
      <c r="Y5" s="1">
        <v>0.21199999999999999</v>
      </c>
      <c r="Z5" s="1">
        <v>3.1E-2</v>
      </c>
      <c r="AA5" s="1">
        <v>3.9E-2</v>
      </c>
      <c r="AB5" s="1">
        <v>0.19500000000000001</v>
      </c>
      <c r="AC5" s="1">
        <v>0.21199999999999999</v>
      </c>
      <c r="AD5" s="1">
        <v>0.188</v>
      </c>
      <c r="AE5" s="1">
        <v>0.20399999999999999</v>
      </c>
    </row>
    <row r="6" spans="1:31" x14ac:dyDescent="0.25">
      <c r="A6" t="str">
        <f>B6&amp;VLOOKUP(D6, Lookups!$E$2:$F$8,2,FALSE)&amp;C6</f>
        <v>BreastIP &amp; OP0</v>
      </c>
      <c r="B6" t="s">
        <v>16</v>
      </c>
      <c r="C6">
        <v>0</v>
      </c>
      <c r="D6" t="s">
        <v>32</v>
      </c>
      <c r="E6" s="1">
        <v>0.24511469838572641</v>
      </c>
      <c r="F6" s="1">
        <v>4.4180118946474084E-2</v>
      </c>
      <c r="G6" s="1">
        <v>3.7383177570093455E-2</v>
      </c>
      <c r="H6" s="1">
        <v>7.7315208156329654E-2</v>
      </c>
      <c r="I6" s="1">
        <v>0.25573491928632114</v>
      </c>
      <c r="J6" s="1">
        <v>3.610875106202209E-2</v>
      </c>
      <c r="K6" s="1">
        <v>0.14910790144435004</v>
      </c>
      <c r="L6" s="1">
        <v>0.15505522514868308</v>
      </c>
      <c r="M6" s="1">
        <v>0.99999999999999989</v>
      </c>
      <c r="N6" s="2">
        <v>2354</v>
      </c>
      <c r="P6" s="1">
        <v>0.22800000000000001</v>
      </c>
      <c r="Q6" s="1">
        <v>0.26300000000000001</v>
      </c>
      <c r="R6" s="1">
        <v>3.6999999999999998E-2</v>
      </c>
      <c r="S6" s="1">
        <v>5.2999999999999999E-2</v>
      </c>
      <c r="T6" s="1">
        <v>0.03</v>
      </c>
      <c r="U6" s="1">
        <v>4.5999999999999999E-2</v>
      </c>
      <c r="V6" s="1">
        <v>6.7000000000000004E-2</v>
      </c>
      <c r="W6" s="1">
        <v>8.8999999999999996E-2</v>
      </c>
      <c r="X6" s="1">
        <v>0.23899999999999999</v>
      </c>
      <c r="Y6" s="1">
        <v>0.27400000000000002</v>
      </c>
      <c r="Z6" s="1">
        <v>2.9000000000000001E-2</v>
      </c>
      <c r="AA6" s="1">
        <v>4.3999999999999997E-2</v>
      </c>
      <c r="AB6" s="1">
        <v>0.13500000000000001</v>
      </c>
      <c r="AC6" s="1">
        <v>0.16400000000000001</v>
      </c>
      <c r="AD6" s="1">
        <v>0.14099999999999999</v>
      </c>
      <c r="AE6" s="1">
        <v>0.17</v>
      </c>
    </row>
    <row r="7" spans="1:31" x14ac:dyDescent="0.25">
      <c r="A7" t="str">
        <f>B7&amp;VLOOKUP(D7, Lookups!$E$2:$F$8,2,FALSE)&amp;C7</f>
        <v>BreastEmergency presentation0</v>
      </c>
      <c r="B7" t="s">
        <v>16</v>
      </c>
      <c r="C7">
        <v>0</v>
      </c>
      <c r="D7" t="s">
        <v>33</v>
      </c>
      <c r="E7" s="1">
        <v>6.7684331797235028E-2</v>
      </c>
      <c r="F7" s="1">
        <v>6.4804147465437792E-2</v>
      </c>
      <c r="G7" s="1">
        <v>9.5046082949308761E-2</v>
      </c>
      <c r="H7" s="1">
        <v>1.5841013824884793E-2</v>
      </c>
      <c r="I7" s="1">
        <v>6.1059907834101382E-2</v>
      </c>
      <c r="J7" s="1">
        <v>5.6163594470046083E-2</v>
      </c>
      <c r="K7" s="1">
        <v>0.57200460829493083</v>
      </c>
      <c r="L7" s="1">
        <v>6.7396313364055299E-2</v>
      </c>
      <c r="M7" s="1">
        <v>0.99999999999999989</v>
      </c>
      <c r="N7" s="2">
        <v>3472</v>
      </c>
      <c r="P7" s="1">
        <v>0.06</v>
      </c>
      <c r="Q7" s="1">
        <v>7.6999999999999999E-2</v>
      </c>
      <c r="R7" s="1">
        <v>5.7000000000000002E-2</v>
      </c>
      <c r="S7" s="1">
        <v>7.2999999999999995E-2</v>
      </c>
      <c r="T7" s="1">
        <v>8.5999999999999993E-2</v>
      </c>
      <c r="U7" s="1">
        <v>0.105</v>
      </c>
      <c r="V7" s="1">
        <v>1.2E-2</v>
      </c>
      <c r="W7" s="1">
        <v>2.1000000000000001E-2</v>
      </c>
      <c r="X7" s="1">
        <v>5.3999999999999999E-2</v>
      </c>
      <c r="Y7" s="1">
        <v>7.0000000000000007E-2</v>
      </c>
      <c r="Z7" s="1">
        <v>4.9000000000000002E-2</v>
      </c>
      <c r="AA7" s="1">
        <v>6.4000000000000001E-2</v>
      </c>
      <c r="AB7" s="1">
        <v>0.55500000000000005</v>
      </c>
      <c r="AC7" s="1">
        <v>0.58799999999999997</v>
      </c>
      <c r="AD7" s="1">
        <v>0.06</v>
      </c>
      <c r="AE7" s="1">
        <v>7.5999999999999998E-2</v>
      </c>
    </row>
    <row r="8" spans="1:31" x14ac:dyDescent="0.25">
      <c r="A8" t="str">
        <f>B8&amp;VLOOKUP(D8, Lookups!$E$2:$F$8,2,FALSE)&amp;C8</f>
        <v>BreastUnknown0</v>
      </c>
      <c r="B8" t="s">
        <v>16</v>
      </c>
      <c r="C8">
        <v>0</v>
      </c>
      <c r="D8" t="s">
        <v>4</v>
      </c>
      <c r="E8" s="1">
        <v>0.25749833370362141</v>
      </c>
      <c r="F8" s="1">
        <v>2.4216840702066207E-2</v>
      </c>
      <c r="G8" s="1">
        <v>5.2654965563208173E-2</v>
      </c>
      <c r="H8" s="1">
        <v>5.9542323928015999E-2</v>
      </c>
      <c r="I8" s="1">
        <v>0.25261053099311265</v>
      </c>
      <c r="J8" s="1">
        <v>3.0659853365918685E-2</v>
      </c>
      <c r="K8" s="1">
        <v>0.17751610753165964</v>
      </c>
      <c r="L8" s="1">
        <v>0.14530104421239726</v>
      </c>
      <c r="M8" s="1">
        <v>1</v>
      </c>
      <c r="N8" s="2">
        <v>4501</v>
      </c>
      <c r="P8" s="1">
        <v>0.245</v>
      </c>
      <c r="Q8" s="1">
        <v>0.27</v>
      </c>
      <c r="R8" s="1">
        <v>0.02</v>
      </c>
      <c r="S8" s="1">
        <v>2.9000000000000001E-2</v>
      </c>
      <c r="T8" s="1">
        <v>4.7E-2</v>
      </c>
      <c r="U8" s="1">
        <v>0.06</v>
      </c>
      <c r="V8" s="1">
        <v>5.2999999999999999E-2</v>
      </c>
      <c r="W8" s="1">
        <v>6.7000000000000004E-2</v>
      </c>
      <c r="X8" s="1">
        <v>0.24</v>
      </c>
      <c r="Y8" s="1">
        <v>0.26600000000000001</v>
      </c>
      <c r="Z8" s="1">
        <v>2.5999999999999999E-2</v>
      </c>
      <c r="AA8" s="1">
        <v>3.5999999999999997E-2</v>
      </c>
      <c r="AB8" s="1">
        <v>0.16700000000000001</v>
      </c>
      <c r="AC8" s="1">
        <v>0.189</v>
      </c>
      <c r="AD8" s="1">
        <v>0.13500000000000001</v>
      </c>
      <c r="AE8" s="1">
        <v>0.156</v>
      </c>
    </row>
    <row r="9" spans="1:31" x14ac:dyDescent="0.25">
      <c r="A9" t="str">
        <f>B9&amp;VLOOKUP(D9, Lookups!$E$2:$F$8,2,FALSE)&amp;C9</f>
        <v>BreastAll Routes0</v>
      </c>
      <c r="B9" t="s">
        <v>16</v>
      </c>
      <c r="C9">
        <v>0</v>
      </c>
      <c r="D9" t="s">
        <v>34</v>
      </c>
      <c r="E9" s="1">
        <v>0.15223768746401514</v>
      </c>
      <c r="F9" s="1">
        <v>1.6696977728224014E-2</v>
      </c>
      <c r="G9" s="1">
        <v>1.8086107785525631E-2</v>
      </c>
      <c r="H9" s="1">
        <v>6.2593103700386579E-2</v>
      </c>
      <c r="I9" s="1">
        <v>0.35309492693358679</v>
      </c>
      <c r="J9" s="1">
        <v>1.4092358870783488E-2</v>
      </c>
      <c r="K9" s="1">
        <v>0.10194569598157575</v>
      </c>
      <c r="L9" s="1">
        <v>0.28125314153590264</v>
      </c>
      <c r="M9" s="1">
        <v>1</v>
      </c>
      <c r="N9" s="2">
        <v>109421</v>
      </c>
      <c r="P9" s="1">
        <v>0.15</v>
      </c>
      <c r="Q9" s="1">
        <v>0.154</v>
      </c>
      <c r="R9" s="1">
        <v>1.6E-2</v>
      </c>
      <c r="S9" s="1">
        <v>1.7000000000000001E-2</v>
      </c>
      <c r="T9" s="1">
        <v>1.7000000000000001E-2</v>
      </c>
      <c r="U9" s="1">
        <v>1.9E-2</v>
      </c>
      <c r="V9" s="1">
        <v>6.0999999999999999E-2</v>
      </c>
      <c r="W9" s="1">
        <v>6.4000000000000001E-2</v>
      </c>
      <c r="X9" s="1">
        <v>0.35</v>
      </c>
      <c r="Y9" s="1">
        <v>0.35599999999999998</v>
      </c>
      <c r="Z9" s="1">
        <v>1.2999999999999999E-2</v>
      </c>
      <c r="AA9" s="1">
        <v>1.4999999999999999E-2</v>
      </c>
      <c r="AB9" s="1">
        <v>0.1</v>
      </c>
      <c r="AC9" s="1">
        <v>0.104</v>
      </c>
      <c r="AD9" s="1">
        <v>0.27900000000000003</v>
      </c>
      <c r="AE9" s="1">
        <v>0.28399999999999997</v>
      </c>
    </row>
    <row r="10" spans="1:31" x14ac:dyDescent="0.25">
      <c r="A10" t="str">
        <f>B10&amp;VLOOKUP(D10, Lookups!$E$2:$F$8,2,FALSE)&amp;C10</f>
        <v>BreastScreen detected1</v>
      </c>
      <c r="B10" t="s">
        <v>16</v>
      </c>
      <c r="C10">
        <v>1</v>
      </c>
      <c r="D10" t="s">
        <v>30</v>
      </c>
      <c r="E10" s="1">
        <v>0.16028253192067374</v>
      </c>
      <c r="F10" s="1">
        <v>2.9883183917413748E-3</v>
      </c>
      <c r="G10" s="1">
        <v>4.6183102417821243E-3</v>
      </c>
      <c r="H10" s="1">
        <v>4.2379788101059496E-2</v>
      </c>
      <c r="I10" s="1">
        <v>0.58571040478130942</v>
      </c>
      <c r="J10" s="1">
        <v>2.1733224667209996E-3</v>
      </c>
      <c r="K10" s="1">
        <v>2.5536538983971745E-2</v>
      </c>
      <c r="L10" s="1">
        <v>0.17631078511274109</v>
      </c>
      <c r="M10" s="1">
        <v>1</v>
      </c>
      <c r="N10" s="2">
        <v>3681</v>
      </c>
      <c r="P10" s="1">
        <v>0.14899999999999999</v>
      </c>
      <c r="Q10" s="1">
        <v>0.17199999999999999</v>
      </c>
      <c r="R10" s="1">
        <v>2E-3</v>
      </c>
      <c r="S10" s="1">
        <v>5.0000000000000001E-3</v>
      </c>
      <c r="T10" s="1">
        <v>3.0000000000000001E-3</v>
      </c>
      <c r="U10" s="1">
        <v>7.0000000000000001E-3</v>
      </c>
      <c r="V10" s="1">
        <v>3.5999999999999997E-2</v>
      </c>
      <c r="W10" s="1">
        <v>4.9000000000000002E-2</v>
      </c>
      <c r="X10" s="1">
        <v>0.56999999999999995</v>
      </c>
      <c r="Y10" s="1">
        <v>0.60199999999999998</v>
      </c>
      <c r="Z10" s="1">
        <v>1E-3</v>
      </c>
      <c r="AA10" s="1">
        <v>4.0000000000000001E-3</v>
      </c>
      <c r="AB10" s="1">
        <v>2.1000000000000001E-2</v>
      </c>
      <c r="AC10" s="1">
        <v>3.1E-2</v>
      </c>
      <c r="AD10" s="1">
        <v>0.16400000000000001</v>
      </c>
      <c r="AE10" s="1">
        <v>0.189</v>
      </c>
    </row>
    <row r="11" spans="1:31" x14ac:dyDescent="0.25">
      <c r="A11" t="str">
        <f>B11&amp;VLOOKUP(D11, Lookups!$E$2:$F$8,2,FALSE)&amp;C11</f>
        <v>BreastTwo Week Wait1</v>
      </c>
      <c r="B11" t="s">
        <v>16</v>
      </c>
      <c r="C11">
        <v>1</v>
      </c>
      <c r="D11" t="s">
        <v>31</v>
      </c>
      <c r="E11" s="1">
        <v>0.1889763779527559</v>
      </c>
      <c r="F11" s="1">
        <v>1.4435695538057743E-2</v>
      </c>
      <c r="G11" s="1">
        <v>1.395848246241947E-2</v>
      </c>
      <c r="H11" s="1">
        <v>5.4044380816034361E-2</v>
      </c>
      <c r="I11" s="1">
        <v>0.27487473156764497</v>
      </c>
      <c r="J11" s="1">
        <v>9.54426151276545E-3</v>
      </c>
      <c r="K11" s="1">
        <v>0.23622047244094488</v>
      </c>
      <c r="L11" s="1">
        <v>0.20794559770937723</v>
      </c>
      <c r="M11" s="1">
        <v>1</v>
      </c>
      <c r="N11" s="2">
        <v>8382</v>
      </c>
      <c r="P11" s="1">
        <v>0.18099999999999999</v>
      </c>
      <c r="Q11" s="1">
        <v>0.19700000000000001</v>
      </c>
      <c r="R11" s="1">
        <v>1.2E-2</v>
      </c>
      <c r="S11" s="1">
        <v>1.7000000000000001E-2</v>
      </c>
      <c r="T11" s="1">
        <v>1.2E-2</v>
      </c>
      <c r="U11" s="1">
        <v>1.7000000000000001E-2</v>
      </c>
      <c r="V11" s="1">
        <v>4.9000000000000002E-2</v>
      </c>
      <c r="W11" s="1">
        <v>5.8999999999999997E-2</v>
      </c>
      <c r="X11" s="1">
        <v>0.26500000000000001</v>
      </c>
      <c r="Y11" s="1">
        <v>0.28499999999999998</v>
      </c>
      <c r="Z11" s="1">
        <v>8.0000000000000002E-3</v>
      </c>
      <c r="AA11" s="1">
        <v>1.2E-2</v>
      </c>
      <c r="AB11" s="1">
        <v>0.22700000000000001</v>
      </c>
      <c r="AC11" s="1">
        <v>0.245</v>
      </c>
      <c r="AD11" s="1">
        <v>0.19900000000000001</v>
      </c>
      <c r="AE11" s="1">
        <v>0.217</v>
      </c>
    </row>
    <row r="12" spans="1:31" x14ac:dyDescent="0.25">
      <c r="A12" t="str">
        <f>B12&amp;VLOOKUP(D12, Lookups!$E$2:$F$8,2,FALSE)&amp;C12</f>
        <v>BreastGP referral1</v>
      </c>
      <c r="B12" t="s">
        <v>16</v>
      </c>
      <c r="C12">
        <v>1</v>
      </c>
      <c r="D12" t="s">
        <v>2</v>
      </c>
      <c r="E12" s="1">
        <v>0.23457730388423459</v>
      </c>
      <c r="F12" s="1">
        <v>2.1325209444021324E-2</v>
      </c>
      <c r="G12" s="1">
        <v>5.4836252856054833E-2</v>
      </c>
      <c r="H12" s="1">
        <v>5.4836252856054833E-2</v>
      </c>
      <c r="I12" s="1">
        <v>0.20335110434120335</v>
      </c>
      <c r="J12" s="1">
        <v>1.5232292460015232E-2</v>
      </c>
      <c r="K12" s="1">
        <v>0.29322162985529321</v>
      </c>
      <c r="L12" s="1">
        <v>0.12261995430312261</v>
      </c>
      <c r="M12" s="1">
        <v>1</v>
      </c>
      <c r="N12" s="2">
        <v>1313</v>
      </c>
      <c r="P12" s="1">
        <v>0.21199999999999999</v>
      </c>
      <c r="Q12" s="1">
        <v>0.25800000000000001</v>
      </c>
      <c r="R12" s="1">
        <v>1.4999999999999999E-2</v>
      </c>
      <c r="S12" s="1">
        <v>3.1E-2</v>
      </c>
      <c r="T12" s="1">
        <v>4.3999999999999997E-2</v>
      </c>
      <c r="U12" s="1">
        <v>6.8000000000000005E-2</v>
      </c>
      <c r="V12" s="1">
        <v>4.3999999999999997E-2</v>
      </c>
      <c r="W12" s="1">
        <v>6.8000000000000005E-2</v>
      </c>
      <c r="X12" s="1">
        <v>0.182</v>
      </c>
      <c r="Y12" s="1">
        <v>0.22600000000000001</v>
      </c>
      <c r="Z12" s="1">
        <v>0.01</v>
      </c>
      <c r="AA12" s="1">
        <v>2.3E-2</v>
      </c>
      <c r="AB12" s="1">
        <v>0.26900000000000002</v>
      </c>
      <c r="AC12" s="1">
        <v>0.318</v>
      </c>
      <c r="AD12" s="1">
        <v>0.106</v>
      </c>
      <c r="AE12" s="1">
        <v>0.14099999999999999</v>
      </c>
    </row>
    <row r="13" spans="1:31" x14ac:dyDescent="0.25">
      <c r="A13" t="str">
        <f>B13&amp;VLOOKUP(D13, Lookups!$E$2:$F$8,2,FALSE)&amp;C13</f>
        <v>BreastIP &amp; OP1</v>
      </c>
      <c r="B13" t="s">
        <v>16</v>
      </c>
      <c r="C13">
        <v>1</v>
      </c>
      <c r="D13" t="s">
        <v>32</v>
      </c>
      <c r="E13" s="1">
        <v>0.19884726224783861</v>
      </c>
      <c r="F13" s="1">
        <v>3.7463976945244955E-2</v>
      </c>
      <c r="G13" s="1">
        <v>3.1700288184438041E-2</v>
      </c>
      <c r="H13" s="1">
        <v>7.492795389048991E-2</v>
      </c>
      <c r="I13" s="1">
        <v>0.26224783861671469</v>
      </c>
      <c r="J13" s="1">
        <v>1.7291066282420751E-2</v>
      </c>
      <c r="K13" s="1">
        <v>0.26224783861671469</v>
      </c>
      <c r="L13" s="1">
        <v>0.11527377521613832</v>
      </c>
      <c r="M13" s="1">
        <v>1</v>
      </c>
      <c r="N13" s="2">
        <v>347</v>
      </c>
      <c r="P13" s="1">
        <v>0.16</v>
      </c>
      <c r="Q13" s="1">
        <v>0.24399999999999999</v>
      </c>
      <c r="R13" s="1">
        <v>2.1999999999999999E-2</v>
      </c>
      <c r="S13" s="1">
        <v>6.3E-2</v>
      </c>
      <c r="T13" s="1">
        <v>1.7999999999999999E-2</v>
      </c>
      <c r="U13" s="1">
        <v>5.6000000000000001E-2</v>
      </c>
      <c r="V13" s="1">
        <v>5.1999999999999998E-2</v>
      </c>
      <c r="W13" s="1">
        <v>0.108</v>
      </c>
      <c r="X13" s="1">
        <v>0.219</v>
      </c>
      <c r="Y13" s="1">
        <v>0.311</v>
      </c>
      <c r="Z13" s="1">
        <v>8.0000000000000002E-3</v>
      </c>
      <c r="AA13" s="1">
        <v>3.6999999999999998E-2</v>
      </c>
      <c r="AB13" s="1">
        <v>0.219</v>
      </c>
      <c r="AC13" s="1">
        <v>0.311</v>
      </c>
      <c r="AD13" s="1">
        <v>8.5999999999999993E-2</v>
      </c>
      <c r="AE13" s="1">
        <v>0.153</v>
      </c>
    </row>
    <row r="14" spans="1:31" x14ac:dyDescent="0.25">
      <c r="A14" t="str">
        <f>B14&amp;VLOOKUP(D14, Lookups!$E$2:$F$8,2,FALSE)&amp;C14</f>
        <v>BreastEmergency presentation1</v>
      </c>
      <c r="B14" t="s">
        <v>16</v>
      </c>
      <c r="C14">
        <v>1</v>
      </c>
      <c r="D14" t="s">
        <v>33</v>
      </c>
      <c r="E14" s="1">
        <v>6.8298969072164942E-2</v>
      </c>
      <c r="F14" s="1">
        <v>1.804123711340206E-2</v>
      </c>
      <c r="G14" s="1">
        <v>7.4742268041237112E-2</v>
      </c>
      <c r="H14" s="1">
        <v>1.4175257731958763E-2</v>
      </c>
      <c r="I14" s="1">
        <v>6.3144329896907214E-2</v>
      </c>
      <c r="J14" s="1">
        <v>2.4484536082474227E-2</v>
      </c>
      <c r="K14" s="1">
        <v>0.70618556701030932</v>
      </c>
      <c r="L14" s="1">
        <v>3.0927835051546393E-2</v>
      </c>
      <c r="M14" s="1">
        <v>1</v>
      </c>
      <c r="N14" s="2">
        <v>776</v>
      </c>
      <c r="P14" s="1">
        <v>5.2999999999999999E-2</v>
      </c>
      <c r="Q14" s="1">
        <v>8.7999999999999995E-2</v>
      </c>
      <c r="R14" s="1">
        <v>1.0999999999999999E-2</v>
      </c>
      <c r="S14" s="1">
        <v>0.03</v>
      </c>
      <c r="T14" s="1">
        <v>5.8000000000000003E-2</v>
      </c>
      <c r="U14" s="1">
        <v>9.5000000000000001E-2</v>
      </c>
      <c r="V14" s="1">
        <v>8.0000000000000002E-3</v>
      </c>
      <c r="W14" s="1">
        <v>2.5000000000000001E-2</v>
      </c>
      <c r="X14" s="1">
        <v>4.8000000000000001E-2</v>
      </c>
      <c r="Y14" s="1">
        <v>8.3000000000000004E-2</v>
      </c>
      <c r="Z14" s="1">
        <v>1.6E-2</v>
      </c>
      <c r="AA14" s="1">
        <v>3.7999999999999999E-2</v>
      </c>
      <c r="AB14" s="1">
        <v>0.67300000000000004</v>
      </c>
      <c r="AC14" s="1">
        <v>0.73699999999999999</v>
      </c>
      <c r="AD14" s="1">
        <v>2.1000000000000001E-2</v>
      </c>
      <c r="AE14" s="1">
        <v>4.5999999999999999E-2</v>
      </c>
    </row>
    <row r="15" spans="1:31" x14ac:dyDescent="0.25">
      <c r="A15" t="str">
        <f>B15&amp;VLOOKUP(D15, Lookups!$E$2:$F$8,2,FALSE)&amp;C15</f>
        <v>BreastUnknown1</v>
      </c>
      <c r="B15" t="s">
        <v>16</v>
      </c>
      <c r="C15">
        <v>1</v>
      </c>
      <c r="D15" t="s">
        <v>4</v>
      </c>
      <c r="E15" s="1">
        <v>0.20161290322580644</v>
      </c>
      <c r="F15" s="1">
        <v>1.6129032258064516E-2</v>
      </c>
      <c r="G15" s="1">
        <v>5.6451612903225805E-2</v>
      </c>
      <c r="H15" s="1">
        <v>7.2580645161290328E-2</v>
      </c>
      <c r="I15" s="1">
        <v>0.25403225806451613</v>
      </c>
      <c r="J15" s="1">
        <v>8.0645161290322578E-3</v>
      </c>
      <c r="K15" s="1">
        <v>0.23790322580645162</v>
      </c>
      <c r="L15" s="1">
        <v>0.15322580645161291</v>
      </c>
      <c r="M15" s="1">
        <v>1</v>
      </c>
      <c r="N15" s="2">
        <v>248</v>
      </c>
      <c r="P15" s="1">
        <v>0.156</v>
      </c>
      <c r="Q15" s="1">
        <v>0.25600000000000001</v>
      </c>
      <c r="R15" s="1">
        <v>6.0000000000000001E-3</v>
      </c>
      <c r="S15" s="1">
        <v>4.1000000000000002E-2</v>
      </c>
      <c r="T15" s="1">
        <v>3.4000000000000002E-2</v>
      </c>
      <c r="U15" s="1">
        <v>9.2999999999999999E-2</v>
      </c>
      <c r="V15" s="1">
        <v>4.5999999999999999E-2</v>
      </c>
      <c r="W15" s="1">
        <v>0.112</v>
      </c>
      <c r="X15" s="1">
        <v>0.20399999999999999</v>
      </c>
      <c r="Y15" s="1">
        <v>0.312</v>
      </c>
      <c r="Z15" s="1">
        <v>2E-3</v>
      </c>
      <c r="AA15" s="1">
        <v>2.9000000000000001E-2</v>
      </c>
      <c r="AB15" s="1">
        <v>0.189</v>
      </c>
      <c r="AC15" s="1">
        <v>0.29499999999999998</v>
      </c>
      <c r="AD15" s="1">
        <v>0.114</v>
      </c>
      <c r="AE15" s="1">
        <v>0.20300000000000001</v>
      </c>
    </row>
    <row r="16" spans="1:31" x14ac:dyDescent="0.25">
      <c r="A16" t="str">
        <f>B16&amp;VLOOKUP(D16, Lookups!$E$2:$F$8,2,FALSE)&amp;C16</f>
        <v>BreastAll Routes1</v>
      </c>
      <c r="B16" t="s">
        <v>16</v>
      </c>
      <c r="C16">
        <v>1</v>
      </c>
      <c r="D16" t="s">
        <v>34</v>
      </c>
      <c r="E16" s="1">
        <v>0.17996880721502678</v>
      </c>
      <c r="F16" s="1">
        <v>1.2951786804095748E-2</v>
      </c>
      <c r="G16" s="1">
        <v>1.9597206211432835E-2</v>
      </c>
      <c r="H16" s="1">
        <v>4.9908455957143827E-2</v>
      </c>
      <c r="I16" s="1">
        <v>0.33430528243032481</v>
      </c>
      <c r="J16" s="1">
        <v>9.1544042856174131E-3</v>
      </c>
      <c r="K16" s="1">
        <v>0.21407743947921612</v>
      </c>
      <c r="L16" s="1">
        <v>0.18003661761714246</v>
      </c>
      <c r="M16" s="1">
        <v>1</v>
      </c>
      <c r="N16" s="2">
        <v>14747</v>
      </c>
      <c r="P16" s="1">
        <v>0.17399999999999999</v>
      </c>
      <c r="Q16" s="1">
        <v>0.186</v>
      </c>
      <c r="R16" s="1">
        <v>1.0999999999999999E-2</v>
      </c>
      <c r="S16" s="1">
        <v>1.4999999999999999E-2</v>
      </c>
      <c r="T16" s="1">
        <v>1.7000000000000001E-2</v>
      </c>
      <c r="U16" s="1">
        <v>2.1999999999999999E-2</v>
      </c>
      <c r="V16" s="1">
        <v>4.7E-2</v>
      </c>
      <c r="W16" s="1">
        <v>5.3999999999999999E-2</v>
      </c>
      <c r="X16" s="1">
        <v>0.32700000000000001</v>
      </c>
      <c r="Y16" s="1">
        <v>0.34200000000000003</v>
      </c>
      <c r="Z16" s="1">
        <v>8.0000000000000002E-3</v>
      </c>
      <c r="AA16" s="1">
        <v>1.0999999999999999E-2</v>
      </c>
      <c r="AB16" s="1">
        <v>0.20799999999999999</v>
      </c>
      <c r="AC16" s="1">
        <v>0.221</v>
      </c>
      <c r="AD16" s="1">
        <v>0.17399999999999999</v>
      </c>
      <c r="AE16" s="1">
        <v>0.186</v>
      </c>
    </row>
    <row r="17" spans="1:31" x14ac:dyDescent="0.25">
      <c r="A17" t="str">
        <f>B17&amp;VLOOKUP(D17, Lookups!$E$2:$F$8,2,FALSE)&amp;C17</f>
        <v>BreastScreen detected2</v>
      </c>
      <c r="B17" t="s">
        <v>16</v>
      </c>
      <c r="C17">
        <v>2</v>
      </c>
      <c r="D17" t="s">
        <v>30</v>
      </c>
      <c r="E17" s="1">
        <v>0.18169014084507043</v>
      </c>
      <c r="F17" s="1">
        <v>4.2253521126760559E-3</v>
      </c>
      <c r="G17" s="1">
        <v>9.1549295774647887E-3</v>
      </c>
      <c r="H17" s="1">
        <v>3.873239436619718E-2</v>
      </c>
      <c r="I17" s="1">
        <v>0.6049295774647887</v>
      </c>
      <c r="J17" s="1">
        <v>2.112676056338028E-3</v>
      </c>
      <c r="K17" s="1">
        <v>3.6619718309859155E-2</v>
      </c>
      <c r="L17" s="1">
        <v>0.12253521126760564</v>
      </c>
      <c r="M17" s="1">
        <v>1</v>
      </c>
      <c r="N17" s="2">
        <v>1420</v>
      </c>
      <c r="P17" s="1">
        <v>0.16300000000000001</v>
      </c>
      <c r="Q17" s="1">
        <v>0.20300000000000001</v>
      </c>
      <c r="R17" s="1">
        <v>2E-3</v>
      </c>
      <c r="S17" s="1">
        <v>8.9999999999999993E-3</v>
      </c>
      <c r="T17" s="1">
        <v>5.0000000000000001E-3</v>
      </c>
      <c r="U17" s="1">
        <v>1.6E-2</v>
      </c>
      <c r="V17" s="1">
        <v>0.03</v>
      </c>
      <c r="W17" s="1">
        <v>0.05</v>
      </c>
      <c r="X17" s="1">
        <v>0.57899999999999996</v>
      </c>
      <c r="Y17" s="1">
        <v>0.63</v>
      </c>
      <c r="Z17" s="1">
        <v>1E-3</v>
      </c>
      <c r="AA17" s="1">
        <v>6.0000000000000001E-3</v>
      </c>
      <c r="AB17" s="1">
        <v>2.8000000000000001E-2</v>
      </c>
      <c r="AC17" s="1">
        <v>4.8000000000000001E-2</v>
      </c>
      <c r="AD17" s="1">
        <v>0.106</v>
      </c>
      <c r="AE17" s="1">
        <v>0.14099999999999999</v>
      </c>
    </row>
    <row r="18" spans="1:31" x14ac:dyDescent="0.25">
      <c r="A18" t="str">
        <f>B18&amp;VLOOKUP(D18, Lookups!$E$2:$F$8,2,FALSE)&amp;C18</f>
        <v>BreastTwo Week Wait2</v>
      </c>
      <c r="B18" t="s">
        <v>16</v>
      </c>
      <c r="C18">
        <v>2</v>
      </c>
      <c r="D18" t="s">
        <v>31</v>
      </c>
      <c r="E18" s="1">
        <v>0.18621399176954734</v>
      </c>
      <c r="F18" s="1">
        <v>1.9804526748971193E-2</v>
      </c>
      <c r="G18" s="1">
        <v>1.6203703703703703E-2</v>
      </c>
      <c r="H18" s="1">
        <v>3.8065843621399177E-2</v>
      </c>
      <c r="I18" s="1">
        <v>0.26157407407407407</v>
      </c>
      <c r="J18" s="1">
        <v>7.716049382716049E-3</v>
      </c>
      <c r="K18" s="1">
        <v>0.3271604938271605</v>
      </c>
      <c r="L18" s="1">
        <v>0.14326131687242799</v>
      </c>
      <c r="M18" s="1">
        <v>1</v>
      </c>
      <c r="N18" s="2">
        <v>3888</v>
      </c>
      <c r="P18" s="1">
        <v>0.17399999999999999</v>
      </c>
      <c r="Q18" s="1">
        <v>0.19900000000000001</v>
      </c>
      <c r="R18" s="1">
        <v>1.6E-2</v>
      </c>
      <c r="S18" s="1">
        <v>2.5000000000000001E-2</v>
      </c>
      <c r="T18" s="1">
        <v>1.2999999999999999E-2</v>
      </c>
      <c r="U18" s="1">
        <v>2.1000000000000001E-2</v>
      </c>
      <c r="V18" s="1">
        <v>3.2000000000000001E-2</v>
      </c>
      <c r="W18" s="1">
        <v>4.4999999999999998E-2</v>
      </c>
      <c r="X18" s="1">
        <v>0.248</v>
      </c>
      <c r="Y18" s="1">
        <v>0.27600000000000002</v>
      </c>
      <c r="Z18" s="1">
        <v>5.0000000000000001E-3</v>
      </c>
      <c r="AA18" s="1">
        <v>1.0999999999999999E-2</v>
      </c>
      <c r="AB18" s="1">
        <v>0.313</v>
      </c>
      <c r="AC18" s="1">
        <v>0.34200000000000003</v>
      </c>
      <c r="AD18" s="1">
        <v>0.13300000000000001</v>
      </c>
      <c r="AE18" s="1">
        <v>0.155</v>
      </c>
    </row>
    <row r="19" spans="1:31" x14ac:dyDescent="0.25">
      <c r="A19" t="str">
        <f>B19&amp;VLOOKUP(D19, Lookups!$E$2:$F$8,2,FALSE)&amp;C19</f>
        <v>BreastGP referral2</v>
      </c>
      <c r="B19" t="s">
        <v>16</v>
      </c>
      <c r="C19">
        <v>2</v>
      </c>
      <c r="D19" t="s">
        <v>2</v>
      </c>
      <c r="E19" s="1">
        <v>0.23119777158774374</v>
      </c>
      <c r="F19" s="1">
        <v>5.0139275766016712E-2</v>
      </c>
      <c r="G19" s="1">
        <v>3.5283194057567316E-2</v>
      </c>
      <c r="H19" s="1">
        <v>8.4493964716805939E-2</v>
      </c>
      <c r="I19" s="1">
        <v>0.22191272051996286</v>
      </c>
      <c r="J19" s="1">
        <v>3.4354688950789226E-2</v>
      </c>
      <c r="K19" s="1">
        <v>0.23955431754874651</v>
      </c>
      <c r="L19" s="1">
        <v>0.10306406685236769</v>
      </c>
      <c r="M19" s="1">
        <v>1</v>
      </c>
      <c r="N19" s="2">
        <v>1077</v>
      </c>
      <c r="P19" s="1">
        <v>0.20699999999999999</v>
      </c>
      <c r="Q19" s="1">
        <v>0.25700000000000001</v>
      </c>
      <c r="R19" s="1">
        <v>3.9E-2</v>
      </c>
      <c r="S19" s="1">
        <v>6.5000000000000002E-2</v>
      </c>
      <c r="T19" s="1">
        <v>2.5999999999999999E-2</v>
      </c>
      <c r="U19" s="1">
        <v>4.8000000000000001E-2</v>
      </c>
      <c r="V19" s="1">
        <v>6.9000000000000006E-2</v>
      </c>
      <c r="W19" s="1">
        <v>0.10299999999999999</v>
      </c>
      <c r="X19" s="1">
        <v>0.19800000000000001</v>
      </c>
      <c r="Y19" s="1">
        <v>0.248</v>
      </c>
      <c r="Z19" s="1">
        <v>2.5000000000000001E-2</v>
      </c>
      <c r="AA19" s="1">
        <v>4.7E-2</v>
      </c>
      <c r="AB19" s="1">
        <v>0.215</v>
      </c>
      <c r="AC19" s="1">
        <v>0.26600000000000001</v>
      </c>
      <c r="AD19" s="1">
        <v>8.5999999999999993E-2</v>
      </c>
      <c r="AE19" s="1">
        <v>0.123</v>
      </c>
    </row>
    <row r="20" spans="1:31" x14ac:dyDescent="0.25">
      <c r="A20" t="str">
        <f>B20&amp;VLOOKUP(D20, Lookups!$E$2:$F$8,2,FALSE)&amp;C20</f>
        <v>BreastIP &amp; OP2</v>
      </c>
      <c r="B20" t="s">
        <v>16</v>
      </c>
      <c r="C20">
        <v>2</v>
      </c>
      <c r="D20" t="s">
        <v>32</v>
      </c>
      <c r="E20" s="1">
        <v>0.22299651567944251</v>
      </c>
      <c r="F20" s="1">
        <v>7.4912891986062713E-2</v>
      </c>
      <c r="G20" s="1">
        <v>3.3101045296167246E-2</v>
      </c>
      <c r="H20" s="1">
        <v>8.7108013937282236E-2</v>
      </c>
      <c r="I20" s="1">
        <v>0.24041811846689895</v>
      </c>
      <c r="J20" s="1">
        <v>4.1811846689895474E-2</v>
      </c>
      <c r="K20" s="1">
        <v>0.17073170731707318</v>
      </c>
      <c r="L20" s="1">
        <v>0.1289198606271777</v>
      </c>
      <c r="M20" s="1">
        <v>1</v>
      </c>
      <c r="N20" s="2">
        <v>574</v>
      </c>
      <c r="P20" s="1">
        <v>0.191</v>
      </c>
      <c r="Q20" s="1">
        <v>0.25900000000000001</v>
      </c>
      <c r="R20" s="1">
        <v>5.6000000000000001E-2</v>
      </c>
      <c r="S20" s="1">
        <v>9.9000000000000005E-2</v>
      </c>
      <c r="T20" s="1">
        <v>2.1000000000000001E-2</v>
      </c>
      <c r="U20" s="1">
        <v>5.0999999999999997E-2</v>
      </c>
      <c r="V20" s="1">
        <v>6.7000000000000004E-2</v>
      </c>
      <c r="W20" s="1">
        <v>0.113</v>
      </c>
      <c r="X20" s="1">
        <v>0.20699999999999999</v>
      </c>
      <c r="Y20" s="1">
        <v>0.27700000000000002</v>
      </c>
      <c r="Z20" s="1">
        <v>2.8000000000000001E-2</v>
      </c>
      <c r="AA20" s="1">
        <v>6.0999999999999999E-2</v>
      </c>
      <c r="AB20" s="1">
        <v>0.14199999999999999</v>
      </c>
      <c r="AC20" s="1">
        <v>0.20399999999999999</v>
      </c>
      <c r="AD20" s="1">
        <v>0.104</v>
      </c>
      <c r="AE20" s="1">
        <v>0.159</v>
      </c>
    </row>
    <row r="21" spans="1:31" x14ac:dyDescent="0.25">
      <c r="A21" t="str">
        <f>B21&amp;VLOOKUP(D21, Lookups!$E$2:$F$8,2,FALSE)&amp;C21</f>
        <v>BreastEmergency presentation2</v>
      </c>
      <c r="B21" t="s">
        <v>16</v>
      </c>
      <c r="C21">
        <v>2</v>
      </c>
      <c r="D21" t="s">
        <v>33</v>
      </c>
      <c r="E21" s="1">
        <v>0.10860655737704918</v>
      </c>
      <c r="F21" s="1">
        <v>4.3032786885245901E-2</v>
      </c>
      <c r="G21" s="1">
        <v>5.5327868852459015E-2</v>
      </c>
      <c r="H21" s="1">
        <v>2.4590163934426229E-2</v>
      </c>
      <c r="I21" s="1">
        <v>5.3278688524590161E-2</v>
      </c>
      <c r="J21" s="1">
        <v>2.2540983606557378E-2</v>
      </c>
      <c r="K21" s="1">
        <v>0.66803278688524592</v>
      </c>
      <c r="L21" s="1">
        <v>2.4590163934426229E-2</v>
      </c>
      <c r="M21" s="1">
        <v>1</v>
      </c>
      <c r="N21" s="2">
        <v>488</v>
      </c>
      <c r="P21" s="1">
        <v>8.4000000000000005E-2</v>
      </c>
      <c r="Q21" s="1">
        <v>0.13900000000000001</v>
      </c>
      <c r="R21" s="1">
        <v>2.8000000000000001E-2</v>
      </c>
      <c r="S21" s="1">
        <v>6.5000000000000002E-2</v>
      </c>
      <c r="T21" s="1">
        <v>3.7999999999999999E-2</v>
      </c>
      <c r="U21" s="1">
        <v>7.9000000000000001E-2</v>
      </c>
      <c r="V21" s="1">
        <v>1.4E-2</v>
      </c>
      <c r="W21" s="1">
        <v>4.2000000000000003E-2</v>
      </c>
      <c r="X21" s="1">
        <v>3.6999999999999998E-2</v>
      </c>
      <c r="Y21" s="1">
        <v>7.6999999999999999E-2</v>
      </c>
      <c r="Z21" s="1">
        <v>1.2999999999999999E-2</v>
      </c>
      <c r="AA21" s="1">
        <v>0.04</v>
      </c>
      <c r="AB21" s="1">
        <v>0.625</v>
      </c>
      <c r="AC21" s="1">
        <v>0.70799999999999996</v>
      </c>
      <c r="AD21" s="1">
        <v>1.4E-2</v>
      </c>
      <c r="AE21" s="1">
        <v>4.2000000000000003E-2</v>
      </c>
    </row>
    <row r="22" spans="1:31" x14ac:dyDescent="0.25">
      <c r="A22" t="str">
        <f>B22&amp;VLOOKUP(D22, Lookups!$E$2:$F$8,2,FALSE)&amp;C22</f>
        <v>BreastUnknown2</v>
      </c>
      <c r="B22" t="s">
        <v>16</v>
      </c>
      <c r="C22">
        <v>2</v>
      </c>
      <c r="D22" t="s">
        <v>4</v>
      </c>
      <c r="E22" s="1">
        <v>0.30102040816326531</v>
      </c>
      <c r="F22" s="1">
        <v>2.0408163265306121E-2</v>
      </c>
      <c r="G22" s="1">
        <v>4.0816326530612242E-2</v>
      </c>
      <c r="H22" s="1">
        <v>5.1020408163265307E-2</v>
      </c>
      <c r="I22" s="1">
        <v>0.27551020408163263</v>
      </c>
      <c r="J22" s="1">
        <v>5.1020408163265302E-3</v>
      </c>
      <c r="K22" s="1">
        <v>0.20408163265306123</v>
      </c>
      <c r="L22" s="1">
        <v>0.10204081632653061</v>
      </c>
      <c r="M22" s="1">
        <v>0.99999999999999989</v>
      </c>
      <c r="N22" s="2">
        <v>196</v>
      </c>
      <c r="P22" s="1">
        <v>0.24099999999999999</v>
      </c>
      <c r="Q22" s="1">
        <v>0.36899999999999999</v>
      </c>
      <c r="R22" s="1">
        <v>8.0000000000000002E-3</v>
      </c>
      <c r="S22" s="1">
        <v>5.0999999999999997E-2</v>
      </c>
      <c r="T22" s="1">
        <v>2.1000000000000001E-2</v>
      </c>
      <c r="U22" s="1">
        <v>7.8E-2</v>
      </c>
      <c r="V22" s="1">
        <v>2.8000000000000001E-2</v>
      </c>
      <c r="W22" s="1">
        <v>9.0999999999999998E-2</v>
      </c>
      <c r="X22" s="1">
        <v>0.218</v>
      </c>
      <c r="Y22" s="1">
        <v>0.34200000000000003</v>
      </c>
      <c r="Z22" s="1">
        <v>1E-3</v>
      </c>
      <c r="AA22" s="1">
        <v>2.8000000000000001E-2</v>
      </c>
      <c r="AB22" s="1">
        <v>0.154</v>
      </c>
      <c r="AC22" s="1">
        <v>0.26600000000000001</v>
      </c>
      <c r="AD22" s="1">
        <v>6.7000000000000004E-2</v>
      </c>
      <c r="AE22" s="1">
        <v>0.152</v>
      </c>
    </row>
    <row r="23" spans="1:31" x14ac:dyDescent="0.25">
      <c r="A23" t="str">
        <f>B23&amp;VLOOKUP(D23, Lookups!$E$2:$F$8,2,FALSE)&amp;C23</f>
        <v>BreastAll Routes2</v>
      </c>
      <c r="B23" t="s">
        <v>16</v>
      </c>
      <c r="C23">
        <v>2</v>
      </c>
      <c r="D23" t="s">
        <v>34</v>
      </c>
      <c r="E23" s="1">
        <v>0.19246369226743426</v>
      </c>
      <c r="F23" s="1">
        <v>2.6821928562082951E-2</v>
      </c>
      <c r="G23" s="1">
        <v>2.198089755331676E-2</v>
      </c>
      <c r="H23" s="1">
        <v>4.7886955384011512E-2</v>
      </c>
      <c r="I23" s="1">
        <v>0.30524663090409526</v>
      </c>
      <c r="J23" s="1">
        <v>1.3868899646735575E-2</v>
      </c>
      <c r="K23" s="1">
        <v>0.26769593091717914</v>
      </c>
      <c r="L23" s="1">
        <v>0.12403506476514457</v>
      </c>
      <c r="M23" s="1">
        <v>1</v>
      </c>
      <c r="N23" s="2">
        <v>7643</v>
      </c>
      <c r="P23" s="1">
        <v>0.184</v>
      </c>
      <c r="Q23" s="1">
        <v>0.20100000000000001</v>
      </c>
      <c r="R23" s="1">
        <v>2.3E-2</v>
      </c>
      <c r="S23" s="1">
        <v>3.1E-2</v>
      </c>
      <c r="T23" s="1">
        <v>1.9E-2</v>
      </c>
      <c r="U23" s="1">
        <v>2.5999999999999999E-2</v>
      </c>
      <c r="V23" s="1">
        <v>4.2999999999999997E-2</v>
      </c>
      <c r="W23" s="1">
        <v>5.2999999999999999E-2</v>
      </c>
      <c r="X23" s="1">
        <v>0.29499999999999998</v>
      </c>
      <c r="Y23" s="1">
        <v>0.316</v>
      </c>
      <c r="Z23" s="1">
        <v>1.0999999999999999E-2</v>
      </c>
      <c r="AA23" s="1">
        <v>1.7000000000000001E-2</v>
      </c>
      <c r="AB23" s="1">
        <v>0.25800000000000001</v>
      </c>
      <c r="AC23" s="1">
        <v>0.27800000000000002</v>
      </c>
      <c r="AD23" s="1">
        <v>0.11700000000000001</v>
      </c>
      <c r="AE23" s="1">
        <v>0.13200000000000001</v>
      </c>
    </row>
    <row r="24" spans="1:31" x14ac:dyDescent="0.25">
      <c r="A24" t="str">
        <f>B24&amp;VLOOKUP(D24, Lookups!$E$2:$F$8,2,FALSE)&amp;C24</f>
        <v>BreastScreen detected3+</v>
      </c>
      <c r="B24" t="s">
        <v>16</v>
      </c>
      <c r="C24" t="s">
        <v>40</v>
      </c>
      <c r="D24" t="s">
        <v>30</v>
      </c>
      <c r="E24" s="1">
        <v>0.23299565846599132</v>
      </c>
      <c r="F24" s="1">
        <v>1.3024602026049204E-2</v>
      </c>
      <c r="G24" s="1">
        <v>5.7887120115774236E-3</v>
      </c>
      <c r="H24" s="1">
        <v>2.4602026049204053E-2</v>
      </c>
      <c r="I24" s="1">
        <v>0.52966714905933432</v>
      </c>
      <c r="J24" s="1">
        <v>1.4471780028943559E-3</v>
      </c>
      <c r="K24" s="1">
        <v>9.1172214182344433E-2</v>
      </c>
      <c r="L24" s="1">
        <v>0.10130246020260492</v>
      </c>
      <c r="M24" s="1">
        <v>1</v>
      </c>
      <c r="N24" s="2">
        <v>691</v>
      </c>
      <c r="P24" s="1">
        <v>0.20300000000000001</v>
      </c>
      <c r="Q24" s="1">
        <v>0.26600000000000001</v>
      </c>
      <c r="R24" s="1">
        <v>7.0000000000000001E-3</v>
      </c>
      <c r="S24" s="1">
        <v>2.5000000000000001E-2</v>
      </c>
      <c r="T24" s="1">
        <v>2E-3</v>
      </c>
      <c r="U24" s="1">
        <v>1.4999999999999999E-2</v>
      </c>
      <c r="V24" s="1">
        <v>1.4999999999999999E-2</v>
      </c>
      <c r="W24" s="1">
        <v>3.9E-2</v>
      </c>
      <c r="X24" s="1">
        <v>0.49199999999999999</v>
      </c>
      <c r="Y24" s="1">
        <v>0.56699999999999995</v>
      </c>
      <c r="Z24" s="1">
        <v>0</v>
      </c>
      <c r="AA24" s="1">
        <v>8.0000000000000002E-3</v>
      </c>
      <c r="AB24" s="1">
        <v>7.1999999999999995E-2</v>
      </c>
      <c r="AC24" s="1">
        <v>0.115</v>
      </c>
      <c r="AD24" s="1">
        <v>8.1000000000000003E-2</v>
      </c>
      <c r="AE24" s="1">
        <v>0.126</v>
      </c>
    </row>
    <row r="25" spans="1:31" x14ac:dyDescent="0.25">
      <c r="A25" t="str">
        <f>B25&amp;VLOOKUP(D25, Lookups!$E$2:$F$8,2,FALSE)&amp;C25</f>
        <v>BreastTwo Week Wait3+</v>
      </c>
      <c r="B25" t="s">
        <v>16</v>
      </c>
      <c r="C25" t="s">
        <v>40</v>
      </c>
      <c r="D25" t="s">
        <v>31</v>
      </c>
      <c r="E25" s="1">
        <v>0.17563739376770537</v>
      </c>
      <c r="F25" s="1">
        <v>1.3534781240163676E-2</v>
      </c>
      <c r="G25" s="1">
        <v>2.7069562480327353E-2</v>
      </c>
      <c r="H25" s="1">
        <v>2.2662889518413599E-2</v>
      </c>
      <c r="I25" s="1">
        <v>0.20081838212149827</v>
      </c>
      <c r="J25" s="1">
        <v>5.9804847340258109E-3</v>
      </c>
      <c r="K25" s="1">
        <v>0.49071451054453885</v>
      </c>
      <c r="L25" s="1">
        <v>6.3581995593327043E-2</v>
      </c>
      <c r="M25" s="1">
        <v>0.99999999999999989</v>
      </c>
      <c r="N25" s="2">
        <v>3177</v>
      </c>
      <c r="P25" s="1">
        <v>0.16300000000000001</v>
      </c>
      <c r="Q25" s="1">
        <v>0.189</v>
      </c>
      <c r="R25" s="1">
        <v>0.01</v>
      </c>
      <c r="S25" s="1">
        <v>1.7999999999999999E-2</v>
      </c>
      <c r="T25" s="1">
        <v>2.1999999999999999E-2</v>
      </c>
      <c r="U25" s="1">
        <v>3.3000000000000002E-2</v>
      </c>
      <c r="V25" s="1">
        <v>1.7999999999999999E-2</v>
      </c>
      <c r="W25" s="1">
        <v>2.8000000000000001E-2</v>
      </c>
      <c r="X25" s="1">
        <v>0.187</v>
      </c>
      <c r="Y25" s="1">
        <v>0.215</v>
      </c>
      <c r="Z25" s="1">
        <v>4.0000000000000001E-3</v>
      </c>
      <c r="AA25" s="1">
        <v>8.9999999999999993E-3</v>
      </c>
      <c r="AB25" s="1">
        <v>0.47299999999999998</v>
      </c>
      <c r="AC25" s="1">
        <v>0.50800000000000001</v>
      </c>
      <c r="AD25" s="1">
        <v>5.6000000000000001E-2</v>
      </c>
      <c r="AE25" s="1">
        <v>7.2999999999999995E-2</v>
      </c>
    </row>
    <row r="26" spans="1:31" x14ac:dyDescent="0.25">
      <c r="A26" t="str">
        <f>B26&amp;VLOOKUP(D26, Lookups!$E$2:$F$8,2,FALSE)&amp;C26</f>
        <v>BreastGP referral3+</v>
      </c>
      <c r="B26" t="s">
        <v>16</v>
      </c>
      <c r="C26" t="s">
        <v>40</v>
      </c>
      <c r="D26" t="s">
        <v>2</v>
      </c>
      <c r="E26" s="1">
        <v>0.22733812949640289</v>
      </c>
      <c r="F26" s="1">
        <v>5.4676258992805753E-2</v>
      </c>
      <c r="G26" s="1">
        <v>4.8920863309352518E-2</v>
      </c>
      <c r="H26" s="1">
        <v>3.5971223021582732E-2</v>
      </c>
      <c r="I26" s="1">
        <v>0.17122302158273381</v>
      </c>
      <c r="J26" s="1">
        <v>2.0143884892086329E-2</v>
      </c>
      <c r="K26" s="1">
        <v>0.3985611510791367</v>
      </c>
      <c r="L26" s="1">
        <v>4.3165467625899283E-2</v>
      </c>
      <c r="M26" s="1">
        <v>0.99999999999999989</v>
      </c>
      <c r="N26" s="2">
        <v>695</v>
      </c>
      <c r="P26" s="1">
        <v>0.19800000000000001</v>
      </c>
      <c r="Q26" s="1">
        <v>0.26</v>
      </c>
      <c r="R26" s="1">
        <v>0.04</v>
      </c>
      <c r="S26" s="1">
        <v>7.3999999999999996E-2</v>
      </c>
      <c r="T26" s="1">
        <v>3.5000000000000003E-2</v>
      </c>
      <c r="U26" s="1">
        <v>6.8000000000000005E-2</v>
      </c>
      <c r="V26" s="1">
        <v>2.4E-2</v>
      </c>
      <c r="W26" s="1">
        <v>5.2999999999999999E-2</v>
      </c>
      <c r="X26" s="1">
        <v>0.14499999999999999</v>
      </c>
      <c r="Y26" s="1">
        <v>0.20100000000000001</v>
      </c>
      <c r="Z26" s="1">
        <v>1.2E-2</v>
      </c>
      <c r="AA26" s="1">
        <v>3.4000000000000002E-2</v>
      </c>
      <c r="AB26" s="1">
        <v>0.36299999999999999</v>
      </c>
      <c r="AC26" s="1">
        <v>0.435</v>
      </c>
      <c r="AD26" s="1">
        <v>0.03</v>
      </c>
      <c r="AE26" s="1">
        <v>6.0999999999999999E-2</v>
      </c>
    </row>
    <row r="27" spans="1:31" x14ac:dyDescent="0.25">
      <c r="A27" t="str">
        <f>B27&amp;VLOOKUP(D27, Lookups!$E$2:$F$8,2,FALSE)&amp;C27</f>
        <v>BreastIP &amp; OP3+</v>
      </c>
      <c r="B27" t="s">
        <v>16</v>
      </c>
      <c r="C27" t="s">
        <v>40</v>
      </c>
      <c r="D27" t="s">
        <v>32</v>
      </c>
      <c r="E27" s="1">
        <v>0.1761006289308176</v>
      </c>
      <c r="F27" s="1">
        <v>4.40251572327044E-2</v>
      </c>
      <c r="G27" s="1">
        <v>2.20125786163522E-2</v>
      </c>
      <c r="H27" s="1">
        <v>6.9182389937106917E-2</v>
      </c>
      <c r="I27" s="1">
        <v>0.21698113207547171</v>
      </c>
      <c r="J27" s="1">
        <v>1.8867924528301886E-2</v>
      </c>
      <c r="K27" s="1">
        <v>0.36792452830188677</v>
      </c>
      <c r="L27" s="1">
        <v>8.4905660377358486E-2</v>
      </c>
      <c r="M27" s="1">
        <v>0.99999999999999989</v>
      </c>
      <c r="N27" s="2">
        <v>318</v>
      </c>
      <c r="P27" s="1">
        <v>0.13800000000000001</v>
      </c>
      <c r="Q27" s="1">
        <v>0.222</v>
      </c>
      <c r="R27" s="1">
        <v>2.5999999999999999E-2</v>
      </c>
      <c r="S27" s="1">
        <v>7.2999999999999995E-2</v>
      </c>
      <c r="T27" s="1">
        <v>1.0999999999999999E-2</v>
      </c>
      <c r="U27" s="1">
        <v>4.4999999999999998E-2</v>
      </c>
      <c r="V27" s="1">
        <v>4.5999999999999999E-2</v>
      </c>
      <c r="W27" s="1">
        <v>0.10299999999999999</v>
      </c>
      <c r="X27" s="1">
        <v>0.17499999999999999</v>
      </c>
      <c r="Y27" s="1">
        <v>0.26600000000000001</v>
      </c>
      <c r="Z27" s="1">
        <v>8.9999999999999993E-3</v>
      </c>
      <c r="AA27" s="1">
        <v>4.1000000000000002E-2</v>
      </c>
      <c r="AB27" s="1">
        <v>0.317</v>
      </c>
      <c r="AC27" s="1">
        <v>0.42199999999999999</v>
      </c>
      <c r="AD27" s="1">
        <v>5.8999999999999997E-2</v>
      </c>
      <c r="AE27" s="1">
        <v>0.121</v>
      </c>
    </row>
    <row r="28" spans="1:31" x14ac:dyDescent="0.25">
      <c r="A28" t="str">
        <f>B28&amp;VLOOKUP(D28, Lookups!$E$2:$F$8,2,FALSE)&amp;C28</f>
        <v>BreastEmergency presentation3+</v>
      </c>
      <c r="B28" t="s">
        <v>16</v>
      </c>
      <c r="C28" t="s">
        <v>40</v>
      </c>
      <c r="D28" t="s">
        <v>33</v>
      </c>
      <c r="E28" s="1">
        <v>7.4782608695652175E-2</v>
      </c>
      <c r="F28" s="1">
        <v>0.04</v>
      </c>
      <c r="G28" s="1">
        <v>3.826086956521739E-2</v>
      </c>
      <c r="H28" s="1">
        <v>1.0434782608695653E-2</v>
      </c>
      <c r="I28" s="1">
        <v>5.2173913043478258E-2</v>
      </c>
      <c r="J28" s="1">
        <v>1.0434782608695653E-2</v>
      </c>
      <c r="K28" s="1">
        <v>0.768695652173913</v>
      </c>
      <c r="L28" s="1">
        <v>5.2173913043478265E-3</v>
      </c>
      <c r="M28" s="1">
        <v>1</v>
      </c>
      <c r="N28" s="2">
        <v>575</v>
      </c>
      <c r="P28" s="1">
        <v>5.6000000000000001E-2</v>
      </c>
      <c r="Q28" s="1">
        <v>9.9000000000000005E-2</v>
      </c>
      <c r="R28" s="1">
        <v>2.7E-2</v>
      </c>
      <c r="S28" s="1">
        <v>5.8999999999999997E-2</v>
      </c>
      <c r="T28" s="1">
        <v>2.5000000000000001E-2</v>
      </c>
      <c r="U28" s="1">
        <v>5.7000000000000002E-2</v>
      </c>
      <c r="V28" s="1">
        <v>5.0000000000000001E-3</v>
      </c>
      <c r="W28" s="1">
        <v>2.3E-2</v>
      </c>
      <c r="X28" s="1">
        <v>3.6999999999999998E-2</v>
      </c>
      <c r="Y28" s="1">
        <v>7.3999999999999996E-2</v>
      </c>
      <c r="Z28" s="1">
        <v>5.0000000000000001E-3</v>
      </c>
      <c r="AA28" s="1">
        <v>2.3E-2</v>
      </c>
      <c r="AB28" s="1">
        <v>0.73299999999999998</v>
      </c>
      <c r="AC28" s="1">
        <v>0.80100000000000005</v>
      </c>
      <c r="AD28" s="1">
        <v>2E-3</v>
      </c>
      <c r="AE28" s="1">
        <v>1.4999999999999999E-2</v>
      </c>
    </row>
    <row r="29" spans="1:31" x14ac:dyDescent="0.25">
      <c r="A29" t="str">
        <f>B29&amp;VLOOKUP(D29, Lookups!$E$2:$F$8,2,FALSE)&amp;C29</f>
        <v>BreastUnknown3+</v>
      </c>
      <c r="B29" t="s">
        <v>16</v>
      </c>
      <c r="C29" t="s">
        <v>40</v>
      </c>
      <c r="D29" t="s">
        <v>4</v>
      </c>
      <c r="E29" s="1">
        <v>0.25490196078431371</v>
      </c>
      <c r="F29" s="1">
        <v>1.9607843137254902E-2</v>
      </c>
      <c r="G29" s="1">
        <v>5.8823529411764705E-2</v>
      </c>
      <c r="H29" s="1">
        <v>1.9607843137254902E-2</v>
      </c>
      <c r="I29" s="1">
        <v>0.19607843137254902</v>
      </c>
      <c r="J29" s="1">
        <v>0</v>
      </c>
      <c r="K29" s="1">
        <v>0.39215686274509803</v>
      </c>
      <c r="L29" s="1">
        <v>5.8823529411764705E-2</v>
      </c>
      <c r="M29" s="1">
        <v>1</v>
      </c>
      <c r="N29" s="2">
        <v>51</v>
      </c>
      <c r="P29" s="1">
        <v>0.155</v>
      </c>
      <c r="Q29" s="1">
        <v>0.38900000000000001</v>
      </c>
      <c r="R29" s="1">
        <v>3.0000000000000001E-3</v>
      </c>
      <c r="S29" s="1">
        <v>0.10299999999999999</v>
      </c>
      <c r="T29" s="1">
        <v>0.02</v>
      </c>
      <c r="U29" s="1">
        <v>0.159</v>
      </c>
      <c r="V29" s="1">
        <v>3.0000000000000001E-3</v>
      </c>
      <c r="W29" s="1">
        <v>0.10299999999999999</v>
      </c>
      <c r="X29" s="1">
        <v>0.11</v>
      </c>
      <c r="Y29" s="1">
        <v>0.32500000000000001</v>
      </c>
      <c r="Z29" s="1">
        <v>0</v>
      </c>
      <c r="AA29" s="1">
        <v>7.0000000000000007E-2</v>
      </c>
      <c r="AB29" s="1">
        <v>0.27</v>
      </c>
      <c r="AC29" s="1">
        <v>0.52900000000000003</v>
      </c>
      <c r="AD29" s="1">
        <v>0.02</v>
      </c>
      <c r="AE29" s="1">
        <v>0.159</v>
      </c>
    </row>
    <row r="30" spans="1:31" x14ac:dyDescent="0.25">
      <c r="A30" t="str">
        <f>B30&amp;VLOOKUP(D30, Lookups!$E$2:$F$8,2,FALSE)&amp;C30</f>
        <v>BreastAll Routes3+</v>
      </c>
      <c r="B30" t="s">
        <v>16</v>
      </c>
      <c r="C30" t="s">
        <v>40</v>
      </c>
      <c r="D30" t="s">
        <v>34</v>
      </c>
      <c r="E30" s="1">
        <v>0.17958961321953876</v>
      </c>
      <c r="F30" s="1">
        <v>2.3243145088069728E-2</v>
      </c>
      <c r="G30" s="1">
        <v>2.8327583076084982E-2</v>
      </c>
      <c r="H30" s="1">
        <v>2.59669511530779E-2</v>
      </c>
      <c r="I30" s="1">
        <v>0.22371527147267115</v>
      </c>
      <c r="J30" s="1">
        <v>8.3530052660250598E-3</v>
      </c>
      <c r="K30" s="1">
        <v>0.44997276193934993</v>
      </c>
      <c r="L30" s="1">
        <v>6.0831668785182494E-2</v>
      </c>
      <c r="M30" s="1">
        <v>1</v>
      </c>
      <c r="N30" s="2">
        <v>5507</v>
      </c>
      <c r="P30" s="1">
        <v>0.17</v>
      </c>
      <c r="Q30" s="1">
        <v>0.19</v>
      </c>
      <c r="R30" s="1">
        <v>0.02</v>
      </c>
      <c r="S30" s="1">
        <v>2.8000000000000001E-2</v>
      </c>
      <c r="T30" s="1">
        <v>2.4E-2</v>
      </c>
      <c r="U30" s="1">
        <v>3.3000000000000002E-2</v>
      </c>
      <c r="V30" s="1">
        <v>2.1999999999999999E-2</v>
      </c>
      <c r="W30" s="1">
        <v>3.1E-2</v>
      </c>
      <c r="X30" s="1">
        <v>0.21299999999999999</v>
      </c>
      <c r="Y30" s="1">
        <v>0.23499999999999999</v>
      </c>
      <c r="Z30" s="1">
        <v>6.0000000000000001E-3</v>
      </c>
      <c r="AA30" s="1">
        <v>1.0999999999999999E-2</v>
      </c>
      <c r="AB30" s="1">
        <v>0.437</v>
      </c>
      <c r="AC30" s="1">
        <v>0.46300000000000002</v>
      </c>
      <c r="AD30" s="1">
        <v>5.5E-2</v>
      </c>
      <c r="AE30" s="1">
        <v>6.7000000000000004E-2</v>
      </c>
    </row>
    <row r="31" spans="1:31" x14ac:dyDescent="0.25">
      <c r="A31" t="str">
        <f>B31&amp;VLOOKUP(D31, Lookups!$E$2:$F$8,2,FALSE)&amp;C31</f>
        <v>ColonScreen detected0</v>
      </c>
      <c r="B31" t="s">
        <v>17</v>
      </c>
      <c r="C31">
        <v>0</v>
      </c>
      <c r="D31" t="s">
        <v>30</v>
      </c>
      <c r="E31" s="1">
        <v>0.57056145675265557</v>
      </c>
      <c r="F31" s="1">
        <v>3.3383915022761758E-2</v>
      </c>
      <c r="G31" s="1">
        <v>1.3277693474962064E-3</v>
      </c>
      <c r="H31" s="1">
        <v>0.33877086494688924</v>
      </c>
      <c r="I31" s="1">
        <v>2.6555386949924128E-3</v>
      </c>
      <c r="J31" s="1">
        <v>7.0182094081942337E-3</v>
      </c>
      <c r="K31" s="1">
        <v>3.8505311077389984E-2</v>
      </c>
      <c r="L31" s="1">
        <v>7.7769347496206374E-3</v>
      </c>
      <c r="M31" s="1">
        <v>1</v>
      </c>
      <c r="N31" s="2">
        <v>5272</v>
      </c>
      <c r="P31" s="1">
        <v>0.55700000000000005</v>
      </c>
      <c r="Q31" s="1">
        <v>0.58399999999999996</v>
      </c>
      <c r="R31" s="1">
        <v>2.9000000000000001E-2</v>
      </c>
      <c r="S31" s="1">
        <v>3.9E-2</v>
      </c>
      <c r="T31" s="1">
        <v>1E-3</v>
      </c>
      <c r="U31" s="1">
        <v>3.0000000000000001E-3</v>
      </c>
      <c r="V31" s="1">
        <v>0.32600000000000001</v>
      </c>
      <c r="W31" s="1">
        <v>0.35199999999999998</v>
      </c>
      <c r="X31" s="1">
        <v>2E-3</v>
      </c>
      <c r="Y31" s="1">
        <v>4.0000000000000001E-3</v>
      </c>
      <c r="Z31" s="1">
        <v>5.0000000000000001E-3</v>
      </c>
      <c r="AA31" s="1">
        <v>0.01</v>
      </c>
      <c r="AB31" s="1">
        <v>3.4000000000000002E-2</v>
      </c>
      <c r="AC31" s="1">
        <v>4.3999999999999997E-2</v>
      </c>
      <c r="AD31" s="1">
        <v>6.0000000000000001E-3</v>
      </c>
      <c r="AE31" s="1">
        <v>1.0999999999999999E-2</v>
      </c>
    </row>
    <row r="32" spans="1:31" x14ac:dyDescent="0.25">
      <c r="A32" t="str">
        <f>B32&amp;VLOOKUP(D32, Lookups!$E$2:$F$8,2,FALSE)&amp;C32</f>
        <v>ColonTwo Week Wait0</v>
      </c>
      <c r="B32" t="s">
        <v>17</v>
      </c>
      <c r="C32">
        <v>0</v>
      </c>
      <c r="D32" t="s">
        <v>31</v>
      </c>
      <c r="E32" s="1">
        <v>0.43957458338978456</v>
      </c>
      <c r="F32" s="1">
        <v>0.11041864246037122</v>
      </c>
      <c r="G32" s="1">
        <v>6.9773743395203898E-3</v>
      </c>
      <c r="H32" s="1">
        <v>0.2816014090231676</v>
      </c>
      <c r="I32" s="1">
        <v>5.6225443706814796E-3</v>
      </c>
      <c r="J32" s="1">
        <v>1.896761956374475E-2</v>
      </c>
      <c r="K32" s="1">
        <v>0.12186695569706002</v>
      </c>
      <c r="L32" s="1">
        <v>1.4970871155669963E-2</v>
      </c>
      <c r="M32" s="1">
        <v>0.99999999999999978</v>
      </c>
      <c r="N32" s="2">
        <v>14762</v>
      </c>
      <c r="P32" s="1">
        <v>0.432</v>
      </c>
      <c r="Q32" s="1">
        <v>0.44800000000000001</v>
      </c>
      <c r="R32" s="1">
        <v>0.105</v>
      </c>
      <c r="S32" s="1">
        <v>0.11600000000000001</v>
      </c>
      <c r="T32" s="1">
        <v>6.0000000000000001E-3</v>
      </c>
      <c r="U32" s="1">
        <v>8.0000000000000002E-3</v>
      </c>
      <c r="V32" s="1">
        <v>0.27400000000000002</v>
      </c>
      <c r="W32" s="1">
        <v>0.28899999999999998</v>
      </c>
      <c r="X32" s="1">
        <v>5.0000000000000001E-3</v>
      </c>
      <c r="Y32" s="1">
        <v>7.0000000000000001E-3</v>
      </c>
      <c r="Z32" s="1">
        <v>1.7000000000000001E-2</v>
      </c>
      <c r="AA32" s="1">
        <v>2.1000000000000001E-2</v>
      </c>
      <c r="AB32" s="1">
        <v>0.11700000000000001</v>
      </c>
      <c r="AC32" s="1">
        <v>0.127</v>
      </c>
      <c r="AD32" s="1">
        <v>1.2999999999999999E-2</v>
      </c>
      <c r="AE32" s="1">
        <v>1.7000000000000001E-2</v>
      </c>
    </row>
    <row r="33" spans="1:31" x14ac:dyDescent="0.25">
      <c r="A33" t="str">
        <f>B33&amp;VLOOKUP(D33, Lookups!$E$2:$F$8,2,FALSE)&amp;C33</f>
        <v>ColonGP referral0</v>
      </c>
      <c r="B33" t="s">
        <v>17</v>
      </c>
      <c r="C33">
        <v>0</v>
      </c>
      <c r="D33" t="s">
        <v>2</v>
      </c>
      <c r="E33" s="1">
        <v>0.43292234081707764</v>
      </c>
      <c r="F33" s="1">
        <v>8.7596613912403393E-2</v>
      </c>
      <c r="G33" s="1">
        <v>8.1891792418108209E-3</v>
      </c>
      <c r="H33" s="1">
        <v>0.23840633051159366</v>
      </c>
      <c r="I33" s="1">
        <v>5.3367684946632318E-3</v>
      </c>
      <c r="J33" s="1">
        <v>1.6286345233713653E-2</v>
      </c>
      <c r="K33" s="1">
        <v>0.19966875230033124</v>
      </c>
      <c r="L33" s="1">
        <v>1.159366948840633E-2</v>
      </c>
      <c r="M33" s="1">
        <v>1</v>
      </c>
      <c r="N33" s="2">
        <v>10868</v>
      </c>
      <c r="P33" s="1">
        <v>0.42399999999999999</v>
      </c>
      <c r="Q33" s="1">
        <v>0.442</v>
      </c>
      <c r="R33" s="1">
        <v>8.2000000000000003E-2</v>
      </c>
      <c r="S33" s="1">
        <v>9.2999999999999999E-2</v>
      </c>
      <c r="T33" s="1">
        <v>7.0000000000000001E-3</v>
      </c>
      <c r="U33" s="1">
        <v>0.01</v>
      </c>
      <c r="V33" s="1">
        <v>0.23</v>
      </c>
      <c r="W33" s="1">
        <v>0.247</v>
      </c>
      <c r="X33" s="1">
        <v>4.0000000000000001E-3</v>
      </c>
      <c r="Y33" s="1">
        <v>7.0000000000000001E-3</v>
      </c>
      <c r="Z33" s="1">
        <v>1.4E-2</v>
      </c>
      <c r="AA33" s="1">
        <v>1.9E-2</v>
      </c>
      <c r="AB33" s="1">
        <v>0.192</v>
      </c>
      <c r="AC33" s="1">
        <v>0.20699999999999999</v>
      </c>
      <c r="AD33" s="1">
        <v>0.01</v>
      </c>
      <c r="AE33" s="1">
        <v>1.4E-2</v>
      </c>
    </row>
    <row r="34" spans="1:31" x14ac:dyDescent="0.25">
      <c r="A34" t="str">
        <f>B34&amp;VLOOKUP(D34, Lookups!$E$2:$F$8,2,FALSE)&amp;C34</f>
        <v>ColonIP &amp; OP0</v>
      </c>
      <c r="B34" t="s">
        <v>17</v>
      </c>
      <c r="C34">
        <v>0</v>
      </c>
      <c r="D34" t="s">
        <v>32</v>
      </c>
      <c r="E34" s="1">
        <v>0.45060093705438992</v>
      </c>
      <c r="F34" s="1">
        <v>9.3909146465675289E-2</v>
      </c>
      <c r="G34" s="1">
        <v>6.9260541861886332E-3</v>
      </c>
      <c r="H34" s="1">
        <v>0.25504176003259321</v>
      </c>
      <c r="I34" s="1">
        <v>4.2778569973518027E-3</v>
      </c>
      <c r="J34" s="1">
        <v>1.303727846811978E-2</v>
      </c>
      <c r="K34" s="1">
        <v>0.16520676308820534</v>
      </c>
      <c r="L34" s="1">
        <v>1.1000203707476064E-2</v>
      </c>
      <c r="M34" s="1">
        <v>1.0000000000000002</v>
      </c>
      <c r="N34" s="2">
        <v>4909</v>
      </c>
      <c r="P34" s="1">
        <v>0.437</v>
      </c>
      <c r="Q34" s="1">
        <v>0.46500000000000002</v>
      </c>
      <c r="R34" s="1">
        <v>8.5999999999999993E-2</v>
      </c>
      <c r="S34" s="1">
        <v>0.10199999999999999</v>
      </c>
      <c r="T34" s="1">
        <v>5.0000000000000001E-3</v>
      </c>
      <c r="U34" s="1">
        <v>0.01</v>
      </c>
      <c r="V34" s="1">
        <v>0.24299999999999999</v>
      </c>
      <c r="W34" s="1">
        <v>0.26700000000000002</v>
      </c>
      <c r="X34" s="1">
        <v>3.0000000000000001E-3</v>
      </c>
      <c r="Y34" s="1">
        <v>7.0000000000000001E-3</v>
      </c>
      <c r="Z34" s="1">
        <v>0.01</v>
      </c>
      <c r="AA34" s="1">
        <v>1.7000000000000001E-2</v>
      </c>
      <c r="AB34" s="1">
        <v>0.155</v>
      </c>
      <c r="AC34" s="1">
        <v>0.17599999999999999</v>
      </c>
      <c r="AD34" s="1">
        <v>8.0000000000000002E-3</v>
      </c>
      <c r="AE34" s="1">
        <v>1.4E-2</v>
      </c>
    </row>
    <row r="35" spans="1:31" x14ac:dyDescent="0.25">
      <c r="A35" t="str">
        <f>B35&amp;VLOOKUP(D35, Lookups!$E$2:$F$8,2,FALSE)&amp;C35</f>
        <v>ColonEmergency presentation0</v>
      </c>
      <c r="B35" t="s">
        <v>17</v>
      </c>
      <c r="C35">
        <v>0</v>
      </c>
      <c r="D35" t="s">
        <v>33</v>
      </c>
      <c r="E35" s="1">
        <v>0.30589689522286045</v>
      </c>
      <c r="F35" s="1">
        <v>5.8896240820184687E-2</v>
      </c>
      <c r="G35" s="1">
        <v>7.9255435177779388E-3</v>
      </c>
      <c r="H35" s="1">
        <v>0.25012724496473498</v>
      </c>
      <c r="I35" s="1">
        <v>3.5628590125790735E-3</v>
      </c>
      <c r="J35" s="1">
        <v>9.1616374609176186E-3</v>
      </c>
      <c r="K35" s="1">
        <v>0.35468625027266776</v>
      </c>
      <c r="L35" s="1">
        <v>9.7433287282774669E-3</v>
      </c>
      <c r="M35" s="1">
        <v>0.99999999999999978</v>
      </c>
      <c r="N35" s="2">
        <v>13753</v>
      </c>
      <c r="P35" s="1">
        <v>0.29799999999999999</v>
      </c>
      <c r="Q35" s="1">
        <v>0.314</v>
      </c>
      <c r="R35" s="1">
        <v>5.5E-2</v>
      </c>
      <c r="S35" s="1">
        <v>6.3E-2</v>
      </c>
      <c r="T35" s="1">
        <v>7.0000000000000001E-3</v>
      </c>
      <c r="U35" s="1">
        <v>0.01</v>
      </c>
      <c r="V35" s="1">
        <v>0.24299999999999999</v>
      </c>
      <c r="W35" s="1">
        <v>0.25700000000000001</v>
      </c>
      <c r="X35" s="1">
        <v>3.0000000000000001E-3</v>
      </c>
      <c r="Y35" s="1">
        <v>5.0000000000000001E-3</v>
      </c>
      <c r="Z35" s="1">
        <v>8.0000000000000002E-3</v>
      </c>
      <c r="AA35" s="1">
        <v>1.0999999999999999E-2</v>
      </c>
      <c r="AB35" s="1">
        <v>0.34699999999999998</v>
      </c>
      <c r="AC35" s="1">
        <v>0.36299999999999999</v>
      </c>
      <c r="AD35" s="1">
        <v>8.0000000000000002E-3</v>
      </c>
      <c r="AE35" s="1">
        <v>1.2E-2</v>
      </c>
    </row>
    <row r="36" spans="1:31" x14ac:dyDescent="0.25">
      <c r="A36" t="str">
        <f>B36&amp;VLOOKUP(D36, Lookups!$E$2:$F$8,2,FALSE)&amp;C36</f>
        <v>ColonUnknown0</v>
      </c>
      <c r="B36" t="s">
        <v>17</v>
      </c>
      <c r="C36">
        <v>0</v>
      </c>
      <c r="D36" t="s">
        <v>4</v>
      </c>
      <c r="E36" s="1">
        <v>0.31482735274204471</v>
      </c>
      <c r="F36" s="1">
        <v>8.327691266079891E-2</v>
      </c>
      <c r="G36" s="1">
        <v>9.4786729857819912E-3</v>
      </c>
      <c r="H36" s="1">
        <v>0.12389979688557888</v>
      </c>
      <c r="I36" s="1">
        <v>2.7081922816519972E-3</v>
      </c>
      <c r="J36" s="1">
        <v>1.3540961408259987E-2</v>
      </c>
      <c r="K36" s="1">
        <v>0.44685172647257954</v>
      </c>
      <c r="L36" s="1">
        <v>5.4163845633039944E-3</v>
      </c>
      <c r="M36" s="1">
        <v>0.99999999999999989</v>
      </c>
      <c r="N36" s="2">
        <v>1477</v>
      </c>
      <c r="P36" s="1">
        <v>0.29199999999999998</v>
      </c>
      <c r="Q36" s="1">
        <v>0.33900000000000002</v>
      </c>
      <c r="R36" s="1">
        <v>7.0000000000000007E-2</v>
      </c>
      <c r="S36" s="1">
        <v>9.8000000000000004E-2</v>
      </c>
      <c r="T36" s="1">
        <v>6.0000000000000001E-3</v>
      </c>
      <c r="U36" s="1">
        <v>1.6E-2</v>
      </c>
      <c r="V36" s="1">
        <v>0.108</v>
      </c>
      <c r="W36" s="1">
        <v>0.14199999999999999</v>
      </c>
      <c r="X36" s="1">
        <v>1E-3</v>
      </c>
      <c r="Y36" s="1">
        <v>7.0000000000000001E-3</v>
      </c>
      <c r="Z36" s="1">
        <v>8.9999999999999993E-3</v>
      </c>
      <c r="AA36" s="1">
        <v>2.1000000000000001E-2</v>
      </c>
      <c r="AB36" s="1">
        <v>0.42199999999999999</v>
      </c>
      <c r="AC36" s="1">
        <v>0.47199999999999998</v>
      </c>
      <c r="AD36" s="1">
        <v>3.0000000000000001E-3</v>
      </c>
      <c r="AE36" s="1">
        <v>1.0999999999999999E-2</v>
      </c>
    </row>
    <row r="37" spans="1:31" x14ac:dyDescent="0.25">
      <c r="A37" t="str">
        <f>B37&amp;VLOOKUP(D37, Lookups!$E$2:$F$8,2,FALSE)&amp;C37</f>
        <v>ColonAll Routes0</v>
      </c>
      <c r="B37" t="s">
        <v>17</v>
      </c>
      <c r="C37">
        <v>0</v>
      </c>
      <c r="D37" t="s">
        <v>34</v>
      </c>
      <c r="E37" s="1">
        <v>0.41311886522599478</v>
      </c>
      <c r="F37" s="1">
        <v>8.134636860563077E-2</v>
      </c>
      <c r="G37" s="1">
        <v>6.9747849767833698E-3</v>
      </c>
      <c r="H37" s="1">
        <v>0.26271037009462983</v>
      </c>
      <c r="I37" s="1">
        <v>4.4865892125937968E-3</v>
      </c>
      <c r="J37" s="1">
        <v>1.3792833212515428E-2</v>
      </c>
      <c r="K37" s="1">
        <v>0.20612840657510628</v>
      </c>
      <c r="L37" s="1">
        <v>1.1441782096745753E-2</v>
      </c>
      <c r="M37" s="1">
        <v>1.0000000000000002</v>
      </c>
      <c r="N37" s="2">
        <v>51041</v>
      </c>
      <c r="P37" s="1">
        <v>0.40899999999999997</v>
      </c>
      <c r="Q37" s="1">
        <v>0.41699999999999998</v>
      </c>
      <c r="R37" s="1">
        <v>7.9000000000000001E-2</v>
      </c>
      <c r="S37" s="1">
        <v>8.4000000000000005E-2</v>
      </c>
      <c r="T37" s="1">
        <v>6.0000000000000001E-3</v>
      </c>
      <c r="U37" s="1">
        <v>8.0000000000000002E-3</v>
      </c>
      <c r="V37" s="1">
        <v>0.25900000000000001</v>
      </c>
      <c r="W37" s="1">
        <v>0.26700000000000002</v>
      </c>
      <c r="X37" s="1">
        <v>4.0000000000000001E-3</v>
      </c>
      <c r="Y37" s="1">
        <v>5.0000000000000001E-3</v>
      </c>
      <c r="Z37" s="1">
        <v>1.2999999999999999E-2</v>
      </c>
      <c r="AA37" s="1">
        <v>1.4999999999999999E-2</v>
      </c>
      <c r="AB37" s="1">
        <v>0.20300000000000001</v>
      </c>
      <c r="AC37" s="1">
        <v>0.21</v>
      </c>
      <c r="AD37" s="1">
        <v>1.0999999999999999E-2</v>
      </c>
      <c r="AE37" s="1">
        <v>1.2E-2</v>
      </c>
    </row>
    <row r="38" spans="1:31" x14ac:dyDescent="0.25">
      <c r="A38" t="str">
        <f>B38&amp;VLOOKUP(D38, Lookups!$E$2:$F$8,2,FALSE)&amp;C38</f>
        <v>ColonScreen detected1</v>
      </c>
      <c r="B38" t="s">
        <v>17</v>
      </c>
      <c r="C38">
        <v>1</v>
      </c>
      <c r="D38" t="s">
        <v>30</v>
      </c>
      <c r="E38" s="1">
        <v>0.65728274173806611</v>
      </c>
      <c r="F38" s="1">
        <v>3.0599755201958383E-2</v>
      </c>
      <c r="G38" s="1">
        <v>2.4479804161566705E-3</v>
      </c>
      <c r="H38" s="1">
        <v>0.25458996328029376</v>
      </c>
      <c r="I38" s="1">
        <v>4.8959608323133411E-3</v>
      </c>
      <c r="J38" s="1">
        <v>8.5679314565483469E-3</v>
      </c>
      <c r="K38" s="1">
        <v>3.6719706242350061E-2</v>
      </c>
      <c r="L38" s="1">
        <v>4.8959608323133411E-3</v>
      </c>
      <c r="M38" s="1">
        <v>1</v>
      </c>
      <c r="N38" s="2">
        <v>817</v>
      </c>
      <c r="P38" s="1">
        <v>0.624</v>
      </c>
      <c r="Q38" s="1">
        <v>0.68899999999999995</v>
      </c>
      <c r="R38" s="1">
        <v>2.1000000000000001E-2</v>
      </c>
      <c r="S38" s="1">
        <v>4.4999999999999998E-2</v>
      </c>
      <c r="T38" s="1">
        <v>1E-3</v>
      </c>
      <c r="U38" s="1">
        <v>8.9999999999999993E-3</v>
      </c>
      <c r="V38" s="1">
        <v>0.22600000000000001</v>
      </c>
      <c r="W38" s="1">
        <v>0.28599999999999998</v>
      </c>
      <c r="X38" s="1">
        <v>2E-3</v>
      </c>
      <c r="Y38" s="1">
        <v>1.2999999999999999E-2</v>
      </c>
      <c r="Z38" s="1">
        <v>4.0000000000000001E-3</v>
      </c>
      <c r="AA38" s="1">
        <v>1.7999999999999999E-2</v>
      </c>
      <c r="AB38" s="1">
        <v>2.5999999999999999E-2</v>
      </c>
      <c r="AC38" s="1">
        <v>5.1999999999999998E-2</v>
      </c>
      <c r="AD38" s="1">
        <v>2E-3</v>
      </c>
      <c r="AE38" s="1">
        <v>1.2999999999999999E-2</v>
      </c>
    </row>
    <row r="39" spans="1:31" x14ac:dyDescent="0.25">
      <c r="A39" t="str">
        <f>B39&amp;VLOOKUP(D39, Lookups!$E$2:$F$8,2,FALSE)&amp;C39</f>
        <v>ColonTwo Week Wait1</v>
      </c>
      <c r="B39" t="s">
        <v>17</v>
      </c>
      <c r="C39">
        <v>1</v>
      </c>
      <c r="D39" t="s">
        <v>31</v>
      </c>
      <c r="E39" s="1">
        <v>0.50461975835110162</v>
      </c>
      <c r="F39" s="1">
        <v>8.6709310589907607E-2</v>
      </c>
      <c r="G39" s="1">
        <v>9.9502487562189053E-3</v>
      </c>
      <c r="H39" s="1">
        <v>0.20042643923240938</v>
      </c>
      <c r="I39" s="1">
        <v>3.5536602700781805E-3</v>
      </c>
      <c r="J39" s="1">
        <v>9.2395167022032692E-3</v>
      </c>
      <c r="K39" s="1">
        <v>0.17626154939587776</v>
      </c>
      <c r="L39" s="1">
        <v>9.2395167022032692E-3</v>
      </c>
      <c r="M39" s="1">
        <v>1</v>
      </c>
      <c r="N39" s="2">
        <v>2814</v>
      </c>
      <c r="P39" s="1">
        <v>0.48599999999999999</v>
      </c>
      <c r="Q39" s="1">
        <v>0.52300000000000002</v>
      </c>
      <c r="R39" s="1">
        <v>7.6999999999999999E-2</v>
      </c>
      <c r="S39" s="1">
        <v>9.8000000000000004E-2</v>
      </c>
      <c r="T39" s="1">
        <v>7.0000000000000001E-3</v>
      </c>
      <c r="U39" s="1">
        <v>1.4E-2</v>
      </c>
      <c r="V39" s="1">
        <v>0.186</v>
      </c>
      <c r="W39" s="1">
        <v>0.216</v>
      </c>
      <c r="X39" s="1">
        <v>2E-3</v>
      </c>
      <c r="Y39" s="1">
        <v>7.0000000000000001E-3</v>
      </c>
      <c r="Z39" s="1">
        <v>6.0000000000000001E-3</v>
      </c>
      <c r="AA39" s="1">
        <v>1.4E-2</v>
      </c>
      <c r="AB39" s="1">
        <v>0.16300000000000001</v>
      </c>
      <c r="AC39" s="1">
        <v>0.191</v>
      </c>
      <c r="AD39" s="1">
        <v>6.0000000000000001E-3</v>
      </c>
      <c r="AE39" s="1">
        <v>1.4E-2</v>
      </c>
    </row>
    <row r="40" spans="1:31" x14ac:dyDescent="0.25">
      <c r="A40" t="str">
        <f>B40&amp;VLOOKUP(D40, Lookups!$E$2:$F$8,2,FALSE)&amp;C40</f>
        <v>ColonGP referral1</v>
      </c>
      <c r="B40" t="s">
        <v>17</v>
      </c>
      <c r="C40">
        <v>1</v>
      </c>
      <c r="D40" t="s">
        <v>2</v>
      </c>
      <c r="E40" s="1">
        <v>0.47772960189199842</v>
      </c>
      <c r="F40" s="1">
        <v>5.5971620023649978E-2</v>
      </c>
      <c r="G40" s="1">
        <v>9.8541584548679541E-3</v>
      </c>
      <c r="H40" s="1">
        <v>0.15135987386677177</v>
      </c>
      <c r="I40" s="1">
        <v>5.912495072920773E-3</v>
      </c>
      <c r="J40" s="1">
        <v>1.1036657469452109E-2</v>
      </c>
      <c r="K40" s="1">
        <v>0.28182893180922347</v>
      </c>
      <c r="L40" s="1">
        <v>6.3066614111154905E-3</v>
      </c>
      <c r="M40" s="1">
        <v>0.99999999999999989</v>
      </c>
      <c r="N40" s="2">
        <v>2537</v>
      </c>
      <c r="P40" s="1">
        <v>0.45800000000000002</v>
      </c>
      <c r="Q40" s="1">
        <v>0.497</v>
      </c>
      <c r="R40" s="1">
        <v>4.8000000000000001E-2</v>
      </c>
      <c r="S40" s="1">
        <v>6.6000000000000003E-2</v>
      </c>
      <c r="T40" s="1">
        <v>7.0000000000000001E-3</v>
      </c>
      <c r="U40" s="1">
        <v>1.4999999999999999E-2</v>
      </c>
      <c r="V40" s="1">
        <v>0.13800000000000001</v>
      </c>
      <c r="W40" s="1">
        <v>0.16600000000000001</v>
      </c>
      <c r="X40" s="1">
        <v>4.0000000000000001E-3</v>
      </c>
      <c r="Y40" s="1">
        <v>0.01</v>
      </c>
      <c r="Z40" s="1">
        <v>8.0000000000000002E-3</v>
      </c>
      <c r="AA40" s="1">
        <v>1.6E-2</v>
      </c>
      <c r="AB40" s="1">
        <v>0.26500000000000001</v>
      </c>
      <c r="AC40" s="1">
        <v>0.3</v>
      </c>
      <c r="AD40" s="1">
        <v>4.0000000000000001E-3</v>
      </c>
      <c r="AE40" s="1">
        <v>0.01</v>
      </c>
    </row>
    <row r="41" spans="1:31" x14ac:dyDescent="0.25">
      <c r="A41" t="str">
        <f>B41&amp;VLOOKUP(D41, Lookups!$E$2:$F$8,2,FALSE)&amp;C41</f>
        <v>ColonIP &amp; OP1</v>
      </c>
      <c r="B41" t="s">
        <v>17</v>
      </c>
      <c r="C41">
        <v>1</v>
      </c>
      <c r="D41" t="s">
        <v>32</v>
      </c>
      <c r="E41" s="1">
        <v>0.5220588235294118</v>
      </c>
      <c r="F41" s="1">
        <v>6.341911764705882E-2</v>
      </c>
      <c r="G41" s="1">
        <v>1.0110294117647059E-2</v>
      </c>
      <c r="H41" s="1">
        <v>0.16452205882352941</v>
      </c>
      <c r="I41" s="1">
        <v>1.838235294117647E-3</v>
      </c>
      <c r="J41" s="1">
        <v>7.3529411764705881E-3</v>
      </c>
      <c r="K41" s="1">
        <v>0.22794117647058823</v>
      </c>
      <c r="L41" s="1">
        <v>2.7573529411764708E-3</v>
      </c>
      <c r="M41" s="1">
        <v>1</v>
      </c>
      <c r="N41" s="2">
        <v>1088</v>
      </c>
      <c r="P41" s="1">
        <v>0.49199999999999999</v>
      </c>
      <c r="Q41" s="1">
        <v>0.55200000000000005</v>
      </c>
      <c r="R41" s="1">
        <v>0.05</v>
      </c>
      <c r="S41" s="1">
        <v>7.9000000000000001E-2</v>
      </c>
      <c r="T41" s="1">
        <v>6.0000000000000001E-3</v>
      </c>
      <c r="U41" s="1">
        <v>1.7999999999999999E-2</v>
      </c>
      <c r="V41" s="1">
        <v>0.14399999999999999</v>
      </c>
      <c r="W41" s="1">
        <v>0.188</v>
      </c>
      <c r="X41" s="1">
        <v>1E-3</v>
      </c>
      <c r="Y41" s="1">
        <v>7.0000000000000001E-3</v>
      </c>
      <c r="Z41" s="1">
        <v>4.0000000000000001E-3</v>
      </c>
      <c r="AA41" s="1">
        <v>1.4E-2</v>
      </c>
      <c r="AB41" s="1">
        <v>0.20399999999999999</v>
      </c>
      <c r="AC41" s="1">
        <v>0.254</v>
      </c>
      <c r="AD41" s="1">
        <v>1E-3</v>
      </c>
      <c r="AE41" s="1">
        <v>8.0000000000000002E-3</v>
      </c>
    </row>
    <row r="42" spans="1:31" x14ac:dyDescent="0.25">
      <c r="A42" t="str">
        <f>B42&amp;VLOOKUP(D42, Lookups!$E$2:$F$8,2,FALSE)&amp;C42</f>
        <v>ColonEmergency presentation1</v>
      </c>
      <c r="B42" t="s">
        <v>17</v>
      </c>
      <c r="C42">
        <v>1</v>
      </c>
      <c r="D42" t="s">
        <v>33</v>
      </c>
      <c r="E42" s="1">
        <v>0.31858678955453151</v>
      </c>
      <c r="F42" s="1">
        <v>3.3794162826420893E-2</v>
      </c>
      <c r="G42" s="1">
        <v>6.4516129032258064E-3</v>
      </c>
      <c r="H42" s="1">
        <v>0.13640552995391705</v>
      </c>
      <c r="I42" s="1">
        <v>3.0721966205837174E-3</v>
      </c>
      <c r="J42" s="1">
        <v>3.6866359447004608E-3</v>
      </c>
      <c r="K42" s="1">
        <v>0.49523809523809526</v>
      </c>
      <c r="L42" s="1">
        <v>2.7649769585253456E-3</v>
      </c>
      <c r="M42" s="1">
        <v>1</v>
      </c>
      <c r="N42" s="2">
        <v>3255</v>
      </c>
      <c r="P42" s="1">
        <v>0.30299999999999999</v>
      </c>
      <c r="Q42" s="1">
        <v>0.33500000000000002</v>
      </c>
      <c r="R42" s="1">
        <v>2.8000000000000001E-2</v>
      </c>
      <c r="S42" s="1">
        <v>4.1000000000000002E-2</v>
      </c>
      <c r="T42" s="1">
        <v>4.0000000000000001E-3</v>
      </c>
      <c r="U42" s="1">
        <v>0.01</v>
      </c>
      <c r="V42" s="1">
        <v>0.125</v>
      </c>
      <c r="W42" s="1">
        <v>0.14899999999999999</v>
      </c>
      <c r="X42" s="1">
        <v>2E-3</v>
      </c>
      <c r="Y42" s="1">
        <v>6.0000000000000001E-3</v>
      </c>
      <c r="Z42" s="1">
        <v>2E-3</v>
      </c>
      <c r="AA42" s="1">
        <v>6.0000000000000001E-3</v>
      </c>
      <c r="AB42" s="1">
        <v>0.47799999999999998</v>
      </c>
      <c r="AC42" s="1">
        <v>0.51200000000000001</v>
      </c>
      <c r="AD42" s="1">
        <v>1E-3</v>
      </c>
      <c r="AE42" s="1">
        <v>5.0000000000000001E-3</v>
      </c>
    </row>
    <row r="43" spans="1:31" x14ac:dyDescent="0.25">
      <c r="A43" t="str">
        <f>B43&amp;VLOOKUP(D43, Lookups!$E$2:$F$8,2,FALSE)&amp;C43</f>
        <v>ColonUnknown1</v>
      </c>
      <c r="B43" t="s">
        <v>17</v>
      </c>
      <c r="C43">
        <v>1</v>
      </c>
      <c r="D43" t="s">
        <v>4</v>
      </c>
      <c r="E43" s="1">
        <v>0.28155339805825241</v>
      </c>
      <c r="F43" s="1">
        <v>5.8252427184466021E-2</v>
      </c>
      <c r="G43" s="1">
        <v>9.7087378640776691E-3</v>
      </c>
      <c r="H43" s="1">
        <v>3.8834951456310676E-2</v>
      </c>
      <c r="I43" s="1">
        <v>0</v>
      </c>
      <c r="J43" s="1">
        <v>9.7087378640776691E-3</v>
      </c>
      <c r="K43" s="1">
        <v>0.60194174757281549</v>
      </c>
      <c r="L43" s="1">
        <v>0</v>
      </c>
      <c r="M43" s="1">
        <v>0.99999999999999989</v>
      </c>
      <c r="N43" s="2">
        <v>103</v>
      </c>
      <c r="P43" s="1">
        <v>0.20399999999999999</v>
      </c>
      <c r="Q43" s="1">
        <v>0.375</v>
      </c>
      <c r="R43" s="1">
        <v>2.7E-2</v>
      </c>
      <c r="S43" s="1">
        <v>0.121</v>
      </c>
      <c r="T43" s="1">
        <v>2E-3</v>
      </c>
      <c r="U43" s="1">
        <v>5.2999999999999999E-2</v>
      </c>
      <c r="V43" s="1">
        <v>1.4999999999999999E-2</v>
      </c>
      <c r="W43" s="1">
        <v>9.6000000000000002E-2</v>
      </c>
      <c r="X43" s="1">
        <v>0</v>
      </c>
      <c r="Y43" s="1">
        <v>3.5999999999999997E-2</v>
      </c>
      <c r="Z43" s="1">
        <v>2E-3</v>
      </c>
      <c r="AA43" s="1">
        <v>5.2999999999999999E-2</v>
      </c>
      <c r="AB43" s="1">
        <v>0.505</v>
      </c>
      <c r="AC43" s="1">
        <v>0.69099999999999995</v>
      </c>
      <c r="AD43" s="1">
        <v>0</v>
      </c>
      <c r="AE43" s="1">
        <v>3.5999999999999997E-2</v>
      </c>
    </row>
    <row r="44" spans="1:31" x14ac:dyDescent="0.25">
      <c r="A44" t="str">
        <f>B44&amp;VLOOKUP(D44, Lookups!$E$2:$F$8,2,FALSE)&amp;C44</f>
        <v>ColonAll Routes1</v>
      </c>
      <c r="B44" t="s">
        <v>17</v>
      </c>
      <c r="C44">
        <v>1</v>
      </c>
      <c r="D44" t="s">
        <v>34</v>
      </c>
      <c r="E44" s="1">
        <v>0.45251554550593553</v>
      </c>
      <c r="F44" s="1">
        <v>5.6152251742980969E-2</v>
      </c>
      <c r="G44" s="1">
        <v>8.2909364989636331E-3</v>
      </c>
      <c r="H44" s="1">
        <v>0.16798567929150179</v>
      </c>
      <c r="I44" s="1">
        <v>3.8628226870171473E-3</v>
      </c>
      <c r="J44" s="1">
        <v>7.7256453740342946E-3</v>
      </c>
      <c r="K44" s="1">
        <v>0.29800263802524968</v>
      </c>
      <c r="L44" s="1">
        <v>5.4644808743169399E-3</v>
      </c>
      <c r="M44" s="1">
        <v>1</v>
      </c>
      <c r="N44" s="2">
        <v>10614</v>
      </c>
      <c r="P44" s="1">
        <v>0.443</v>
      </c>
      <c r="Q44" s="1">
        <v>0.46200000000000002</v>
      </c>
      <c r="R44" s="1">
        <v>5.1999999999999998E-2</v>
      </c>
      <c r="S44" s="1">
        <v>6.0999999999999999E-2</v>
      </c>
      <c r="T44" s="1">
        <v>7.0000000000000001E-3</v>
      </c>
      <c r="U44" s="1">
        <v>0.01</v>
      </c>
      <c r="V44" s="1">
        <v>0.161</v>
      </c>
      <c r="W44" s="1">
        <v>0.17499999999999999</v>
      </c>
      <c r="X44" s="1">
        <v>3.0000000000000001E-3</v>
      </c>
      <c r="Y44" s="1">
        <v>5.0000000000000001E-3</v>
      </c>
      <c r="Z44" s="1">
        <v>6.0000000000000001E-3</v>
      </c>
      <c r="AA44" s="1">
        <v>0.01</v>
      </c>
      <c r="AB44" s="1">
        <v>0.28899999999999998</v>
      </c>
      <c r="AC44" s="1">
        <v>0.307</v>
      </c>
      <c r="AD44" s="1">
        <v>4.0000000000000001E-3</v>
      </c>
      <c r="AE44" s="1">
        <v>7.0000000000000001E-3</v>
      </c>
    </row>
    <row r="45" spans="1:31" x14ac:dyDescent="0.25">
      <c r="A45" t="str">
        <f>B45&amp;VLOOKUP(D45, Lookups!$E$2:$F$8,2,FALSE)&amp;C45</f>
        <v>ColonScreen detected2</v>
      </c>
      <c r="B45" t="s">
        <v>17</v>
      </c>
      <c r="C45">
        <v>2</v>
      </c>
      <c r="D45" t="s">
        <v>30</v>
      </c>
      <c r="E45" s="1">
        <v>0.62448132780082988</v>
      </c>
      <c r="F45" s="1">
        <v>5.6016597510373446E-2</v>
      </c>
      <c r="G45" s="1">
        <v>4.1493775933609959E-3</v>
      </c>
      <c r="H45" s="1">
        <v>0.25933609958506226</v>
      </c>
      <c r="I45" s="1">
        <v>2.0746887966804979E-3</v>
      </c>
      <c r="J45" s="1">
        <v>4.1493775933609959E-3</v>
      </c>
      <c r="K45" s="1">
        <v>4.1493775933609957E-2</v>
      </c>
      <c r="L45" s="1">
        <v>8.2987551867219917E-3</v>
      </c>
      <c r="M45" s="1">
        <v>0.99999999999999989</v>
      </c>
      <c r="N45" s="2">
        <v>482</v>
      </c>
      <c r="P45" s="1">
        <v>0.57999999999999996</v>
      </c>
      <c r="Q45" s="1">
        <v>0.66700000000000004</v>
      </c>
      <c r="R45" s="1">
        <v>3.9E-2</v>
      </c>
      <c r="S45" s="1">
        <v>0.08</v>
      </c>
      <c r="T45" s="1">
        <v>1E-3</v>
      </c>
      <c r="U45" s="1">
        <v>1.4999999999999999E-2</v>
      </c>
      <c r="V45" s="1">
        <v>0.222</v>
      </c>
      <c r="W45" s="1">
        <v>0.3</v>
      </c>
      <c r="X45" s="1">
        <v>0</v>
      </c>
      <c r="Y45" s="1">
        <v>1.2E-2</v>
      </c>
      <c r="Z45" s="1">
        <v>1E-3</v>
      </c>
      <c r="AA45" s="1">
        <v>1.4999999999999999E-2</v>
      </c>
      <c r="AB45" s="1">
        <v>2.7E-2</v>
      </c>
      <c r="AC45" s="1">
        <v>6.3E-2</v>
      </c>
      <c r="AD45" s="1">
        <v>3.0000000000000001E-3</v>
      </c>
      <c r="AE45" s="1">
        <v>2.1000000000000001E-2</v>
      </c>
    </row>
    <row r="46" spans="1:31" x14ac:dyDescent="0.25">
      <c r="A46" t="str">
        <f>B46&amp;VLOOKUP(D46, Lookups!$E$2:$F$8,2,FALSE)&amp;C46</f>
        <v>ColonTwo Week Wait2</v>
      </c>
      <c r="B46" t="s">
        <v>17</v>
      </c>
      <c r="C46">
        <v>2</v>
      </c>
      <c r="D46" t="s">
        <v>31</v>
      </c>
      <c r="E46" s="1">
        <v>0.51679104477611937</v>
      </c>
      <c r="F46" s="1">
        <v>6.3432835820895525E-2</v>
      </c>
      <c r="G46" s="1">
        <v>8.7064676616915426E-3</v>
      </c>
      <c r="H46" s="1">
        <v>0.1822139303482587</v>
      </c>
      <c r="I46" s="1">
        <v>6.2189054726368162E-3</v>
      </c>
      <c r="J46" s="1">
        <v>8.0845771144278603E-3</v>
      </c>
      <c r="K46" s="1">
        <v>0.20895522388059701</v>
      </c>
      <c r="L46" s="1">
        <v>5.597014925373134E-3</v>
      </c>
      <c r="M46" s="1">
        <v>1.0000000000000002</v>
      </c>
      <c r="N46" s="2">
        <v>1608</v>
      </c>
      <c r="P46" s="1">
        <v>0.49199999999999999</v>
      </c>
      <c r="Q46" s="1">
        <v>0.54100000000000004</v>
      </c>
      <c r="R46" s="1">
        <v>5.2999999999999999E-2</v>
      </c>
      <c r="S46" s="1">
        <v>7.5999999999999998E-2</v>
      </c>
      <c r="T46" s="1">
        <v>5.0000000000000001E-3</v>
      </c>
      <c r="U46" s="1">
        <v>1.4999999999999999E-2</v>
      </c>
      <c r="V46" s="1">
        <v>0.16400000000000001</v>
      </c>
      <c r="W46" s="1">
        <v>0.20200000000000001</v>
      </c>
      <c r="X46" s="1">
        <v>3.0000000000000001E-3</v>
      </c>
      <c r="Y46" s="1">
        <v>1.0999999999999999E-2</v>
      </c>
      <c r="Z46" s="1">
        <v>5.0000000000000001E-3</v>
      </c>
      <c r="AA46" s="1">
        <v>1.4E-2</v>
      </c>
      <c r="AB46" s="1">
        <v>0.19</v>
      </c>
      <c r="AC46" s="1">
        <v>0.23</v>
      </c>
      <c r="AD46" s="1">
        <v>3.0000000000000001E-3</v>
      </c>
      <c r="AE46" s="1">
        <v>1.0999999999999999E-2</v>
      </c>
    </row>
    <row r="47" spans="1:31" x14ac:dyDescent="0.25">
      <c r="A47" t="str">
        <f>B47&amp;VLOOKUP(D47, Lookups!$E$2:$F$8,2,FALSE)&amp;C47</f>
        <v>ColonGP referral2</v>
      </c>
      <c r="B47" t="s">
        <v>17</v>
      </c>
      <c r="C47">
        <v>2</v>
      </c>
      <c r="D47" t="s">
        <v>2</v>
      </c>
      <c r="E47" s="1">
        <v>0.48796866256295468</v>
      </c>
      <c r="F47" s="1">
        <v>5.6519306099608285E-2</v>
      </c>
      <c r="G47" s="1">
        <v>1.5668718522663681E-2</v>
      </c>
      <c r="H47" s="1">
        <v>0.14661443760492446</v>
      </c>
      <c r="I47" s="1">
        <v>9.5131505316172361E-3</v>
      </c>
      <c r="J47" s="1">
        <v>7.2747621712367094E-3</v>
      </c>
      <c r="K47" s="1">
        <v>0.27420257414661442</v>
      </c>
      <c r="L47" s="1">
        <v>2.2383883603805262E-3</v>
      </c>
      <c r="M47" s="1">
        <v>1</v>
      </c>
      <c r="N47" s="2">
        <v>1787</v>
      </c>
      <c r="P47" s="1">
        <v>0.46500000000000002</v>
      </c>
      <c r="Q47" s="1">
        <v>0.51100000000000001</v>
      </c>
      <c r="R47" s="1">
        <v>4.7E-2</v>
      </c>
      <c r="S47" s="1">
        <v>6.8000000000000005E-2</v>
      </c>
      <c r="T47" s="1">
        <v>1.0999999999999999E-2</v>
      </c>
      <c r="U47" s="1">
        <v>2.3E-2</v>
      </c>
      <c r="V47" s="1">
        <v>0.13100000000000001</v>
      </c>
      <c r="W47" s="1">
        <v>0.16400000000000001</v>
      </c>
      <c r="X47" s="1">
        <v>6.0000000000000001E-3</v>
      </c>
      <c r="Y47" s="1">
        <v>1.4999999999999999E-2</v>
      </c>
      <c r="Z47" s="1">
        <v>4.0000000000000001E-3</v>
      </c>
      <c r="AA47" s="1">
        <v>1.2E-2</v>
      </c>
      <c r="AB47" s="1">
        <v>0.254</v>
      </c>
      <c r="AC47" s="1">
        <v>0.29499999999999998</v>
      </c>
      <c r="AD47" s="1">
        <v>1E-3</v>
      </c>
      <c r="AE47" s="1">
        <v>6.0000000000000001E-3</v>
      </c>
    </row>
    <row r="48" spans="1:31" x14ac:dyDescent="0.25">
      <c r="A48" t="str">
        <f>B48&amp;VLOOKUP(D48, Lookups!$E$2:$F$8,2,FALSE)&amp;C48</f>
        <v>ColonIP &amp; OP2</v>
      </c>
      <c r="B48" t="s">
        <v>17</v>
      </c>
      <c r="C48">
        <v>2</v>
      </c>
      <c r="D48" t="s">
        <v>32</v>
      </c>
      <c r="E48" s="1">
        <v>0.48859934853420195</v>
      </c>
      <c r="F48" s="1">
        <v>7.2747014115092296E-2</v>
      </c>
      <c r="G48" s="1">
        <v>9.7719869706840382E-3</v>
      </c>
      <c r="H48" s="1">
        <v>0.14983713355048861</v>
      </c>
      <c r="I48" s="1">
        <v>6.5146579804560263E-3</v>
      </c>
      <c r="J48" s="1">
        <v>1.4115092290988056E-2</v>
      </c>
      <c r="K48" s="1">
        <v>0.250814332247557</v>
      </c>
      <c r="L48" s="1">
        <v>7.6004343105320303E-3</v>
      </c>
      <c r="M48" s="1">
        <v>1</v>
      </c>
      <c r="N48" s="2">
        <v>921</v>
      </c>
      <c r="P48" s="1">
        <v>0.45600000000000002</v>
      </c>
      <c r="Q48" s="1">
        <v>0.52100000000000002</v>
      </c>
      <c r="R48" s="1">
        <v>5.8000000000000003E-2</v>
      </c>
      <c r="S48" s="1">
        <v>9.0999999999999998E-2</v>
      </c>
      <c r="T48" s="1">
        <v>5.0000000000000001E-3</v>
      </c>
      <c r="U48" s="1">
        <v>1.7999999999999999E-2</v>
      </c>
      <c r="V48" s="1">
        <v>0.128</v>
      </c>
      <c r="W48" s="1">
        <v>0.17399999999999999</v>
      </c>
      <c r="X48" s="1">
        <v>3.0000000000000001E-3</v>
      </c>
      <c r="Y48" s="1">
        <v>1.4E-2</v>
      </c>
      <c r="Z48" s="1">
        <v>8.0000000000000002E-3</v>
      </c>
      <c r="AA48" s="1">
        <v>2.4E-2</v>
      </c>
      <c r="AB48" s="1">
        <v>0.224</v>
      </c>
      <c r="AC48" s="1">
        <v>0.28000000000000003</v>
      </c>
      <c r="AD48" s="1">
        <v>4.0000000000000001E-3</v>
      </c>
      <c r="AE48" s="1">
        <v>1.6E-2</v>
      </c>
    </row>
    <row r="49" spans="1:31" x14ac:dyDescent="0.25">
      <c r="A49" t="str">
        <f>B49&amp;VLOOKUP(D49, Lookups!$E$2:$F$8,2,FALSE)&amp;C49</f>
        <v>ColonEmergency presentation2</v>
      </c>
      <c r="B49" t="s">
        <v>17</v>
      </c>
      <c r="C49">
        <v>2</v>
      </c>
      <c r="D49" t="s">
        <v>33</v>
      </c>
      <c r="E49" s="1">
        <v>0.34337056823700823</v>
      </c>
      <c r="F49" s="1">
        <v>2.8654686741136474E-2</v>
      </c>
      <c r="G49" s="1">
        <v>1.1656143759106362E-2</v>
      </c>
      <c r="H49" s="1">
        <v>0.1010199125789218</v>
      </c>
      <c r="I49" s="1">
        <v>4.3710539096648857E-3</v>
      </c>
      <c r="J49" s="1">
        <v>2.9140359397765905E-3</v>
      </c>
      <c r="K49" s="1">
        <v>0.50461389023797965</v>
      </c>
      <c r="L49" s="1">
        <v>3.3997085964060222E-3</v>
      </c>
      <c r="M49" s="1">
        <v>1</v>
      </c>
      <c r="N49" s="2">
        <v>2059</v>
      </c>
      <c r="P49" s="1">
        <v>0.32300000000000001</v>
      </c>
      <c r="Q49" s="1">
        <v>0.36399999999999999</v>
      </c>
      <c r="R49" s="1">
        <v>2.1999999999999999E-2</v>
      </c>
      <c r="S49" s="1">
        <v>3.6999999999999998E-2</v>
      </c>
      <c r="T49" s="1">
        <v>8.0000000000000002E-3</v>
      </c>
      <c r="U49" s="1">
        <v>1.7000000000000001E-2</v>
      </c>
      <c r="V49" s="1">
        <v>8.8999999999999996E-2</v>
      </c>
      <c r="W49" s="1">
        <v>0.115</v>
      </c>
      <c r="X49" s="1">
        <v>2E-3</v>
      </c>
      <c r="Y49" s="1">
        <v>8.0000000000000002E-3</v>
      </c>
      <c r="Z49" s="1">
        <v>1E-3</v>
      </c>
      <c r="AA49" s="1">
        <v>6.0000000000000001E-3</v>
      </c>
      <c r="AB49" s="1">
        <v>0.48299999999999998</v>
      </c>
      <c r="AC49" s="1">
        <v>0.52600000000000002</v>
      </c>
      <c r="AD49" s="1">
        <v>2E-3</v>
      </c>
      <c r="AE49" s="1">
        <v>7.0000000000000001E-3</v>
      </c>
    </row>
    <row r="50" spans="1:31" x14ac:dyDescent="0.25">
      <c r="A50" t="str">
        <f>B50&amp;VLOOKUP(D50, Lookups!$E$2:$F$8,2,FALSE)&amp;C50</f>
        <v>ColonUnknown2</v>
      </c>
      <c r="B50" t="s">
        <v>17</v>
      </c>
      <c r="C50">
        <v>2</v>
      </c>
      <c r="D50" t="s">
        <v>4</v>
      </c>
      <c r="E50" s="1">
        <v>0.27692307692307694</v>
      </c>
      <c r="F50" s="1">
        <v>3.0769230769230771E-2</v>
      </c>
      <c r="G50" s="1">
        <v>0</v>
      </c>
      <c r="H50" s="1">
        <v>1.5384615384615385E-2</v>
      </c>
      <c r="I50" s="1">
        <v>0</v>
      </c>
      <c r="J50" s="1">
        <v>0</v>
      </c>
      <c r="K50" s="1">
        <v>0.67692307692307696</v>
      </c>
      <c r="L50" s="1">
        <v>0</v>
      </c>
      <c r="M50" s="1">
        <v>1</v>
      </c>
      <c r="N50" s="2">
        <v>65</v>
      </c>
      <c r="P50" s="1">
        <v>0.183</v>
      </c>
      <c r="Q50" s="1">
        <v>0.39600000000000002</v>
      </c>
      <c r="R50" s="1">
        <v>8.0000000000000002E-3</v>
      </c>
      <c r="S50" s="1">
        <v>0.105</v>
      </c>
      <c r="T50" s="1">
        <v>0</v>
      </c>
      <c r="U50" s="1">
        <v>5.6000000000000001E-2</v>
      </c>
      <c r="V50" s="1">
        <v>3.0000000000000001E-3</v>
      </c>
      <c r="W50" s="1">
        <v>8.2000000000000003E-2</v>
      </c>
      <c r="X50" s="1">
        <v>0</v>
      </c>
      <c r="Y50" s="1">
        <v>5.6000000000000001E-2</v>
      </c>
      <c r="Z50" s="1">
        <v>0</v>
      </c>
      <c r="AA50" s="1">
        <v>5.6000000000000001E-2</v>
      </c>
      <c r="AB50" s="1">
        <v>0.55600000000000005</v>
      </c>
      <c r="AC50" s="1">
        <v>0.77800000000000002</v>
      </c>
      <c r="AD50" s="1">
        <v>0</v>
      </c>
      <c r="AE50" s="1">
        <v>5.6000000000000001E-2</v>
      </c>
    </row>
    <row r="51" spans="1:31" x14ac:dyDescent="0.25">
      <c r="A51" t="str">
        <f>B51&amp;VLOOKUP(D51, Lookups!$E$2:$F$8,2,FALSE)&amp;C51</f>
        <v>ColonAll Routes2</v>
      </c>
      <c r="B51" t="s">
        <v>17</v>
      </c>
      <c r="C51">
        <v>2</v>
      </c>
      <c r="D51" t="s">
        <v>34</v>
      </c>
      <c r="E51" s="1">
        <v>0.45926032938457095</v>
      </c>
      <c r="F51" s="1">
        <v>5.1719156313204277E-2</v>
      </c>
      <c r="G51" s="1">
        <v>1.1123952614851199E-2</v>
      </c>
      <c r="H51" s="1">
        <v>0.14836752383704133</v>
      </c>
      <c r="I51" s="1">
        <v>6.2120774342675524E-3</v>
      </c>
      <c r="J51" s="1">
        <v>6.7899451025715115E-3</v>
      </c>
      <c r="K51" s="1">
        <v>0.31204854088413753</v>
      </c>
      <c r="L51" s="1">
        <v>4.4784744293556774E-3</v>
      </c>
      <c r="M51" s="1">
        <v>0.99999999999999989</v>
      </c>
      <c r="N51" s="2">
        <v>6922</v>
      </c>
      <c r="P51" s="1">
        <v>0.44800000000000001</v>
      </c>
      <c r="Q51" s="1">
        <v>0.47099999999999997</v>
      </c>
      <c r="R51" s="1">
        <v>4.7E-2</v>
      </c>
      <c r="S51" s="1">
        <v>5.7000000000000002E-2</v>
      </c>
      <c r="T51" s="1">
        <v>8.9999999999999993E-3</v>
      </c>
      <c r="U51" s="1">
        <v>1.4E-2</v>
      </c>
      <c r="V51" s="1">
        <v>0.14000000000000001</v>
      </c>
      <c r="W51" s="1">
        <v>0.157</v>
      </c>
      <c r="X51" s="1">
        <v>5.0000000000000001E-3</v>
      </c>
      <c r="Y51" s="1">
        <v>8.0000000000000002E-3</v>
      </c>
      <c r="Z51" s="1">
        <v>5.0000000000000001E-3</v>
      </c>
      <c r="AA51" s="1">
        <v>8.9999999999999993E-3</v>
      </c>
      <c r="AB51" s="1">
        <v>0.30099999999999999</v>
      </c>
      <c r="AC51" s="1">
        <v>0.32300000000000001</v>
      </c>
      <c r="AD51" s="1">
        <v>3.0000000000000001E-3</v>
      </c>
      <c r="AE51" s="1">
        <v>6.0000000000000001E-3</v>
      </c>
    </row>
    <row r="52" spans="1:31" x14ac:dyDescent="0.25">
      <c r="A52" t="str">
        <f>B52&amp;VLOOKUP(D52, Lookups!$E$2:$F$8,2,FALSE)&amp;C52</f>
        <v>ColonScreen detected3+</v>
      </c>
      <c r="B52" t="s">
        <v>17</v>
      </c>
      <c r="C52" t="s">
        <v>40</v>
      </c>
      <c r="D52" t="s">
        <v>30</v>
      </c>
      <c r="E52" s="1">
        <v>0.62815884476534301</v>
      </c>
      <c r="F52" s="1">
        <v>4.3321299638989168E-2</v>
      </c>
      <c r="G52" s="1">
        <v>1.0830324909747292E-2</v>
      </c>
      <c r="H52" s="1">
        <v>0.18050541516245489</v>
      </c>
      <c r="I52" s="1">
        <v>3.6101083032490976E-3</v>
      </c>
      <c r="J52" s="1">
        <v>0</v>
      </c>
      <c r="K52" s="1">
        <v>0.12274368231046931</v>
      </c>
      <c r="L52" s="1">
        <v>1.0830324909747292E-2</v>
      </c>
      <c r="M52" s="1">
        <v>1</v>
      </c>
      <c r="N52" s="2">
        <v>277</v>
      </c>
      <c r="P52" s="1">
        <v>0.56999999999999995</v>
      </c>
      <c r="Q52" s="1">
        <v>0.68300000000000005</v>
      </c>
      <c r="R52" s="1">
        <v>2.5000000000000001E-2</v>
      </c>
      <c r="S52" s="1">
        <v>7.3999999999999996E-2</v>
      </c>
      <c r="T52" s="1">
        <v>4.0000000000000001E-3</v>
      </c>
      <c r="U52" s="1">
        <v>3.1E-2</v>
      </c>
      <c r="V52" s="1">
        <v>0.14000000000000001</v>
      </c>
      <c r="W52" s="1">
        <v>0.23</v>
      </c>
      <c r="X52" s="1">
        <v>1E-3</v>
      </c>
      <c r="Y52" s="1">
        <v>0.02</v>
      </c>
      <c r="Z52" s="1">
        <v>0</v>
      </c>
      <c r="AA52" s="1">
        <v>1.4E-2</v>
      </c>
      <c r="AB52" s="1">
        <v>8.8999999999999996E-2</v>
      </c>
      <c r="AC52" s="1">
        <v>0.16700000000000001</v>
      </c>
      <c r="AD52" s="1">
        <v>4.0000000000000001E-3</v>
      </c>
      <c r="AE52" s="1">
        <v>3.1E-2</v>
      </c>
    </row>
    <row r="53" spans="1:31" x14ac:dyDescent="0.25">
      <c r="A53" t="str">
        <f>B53&amp;VLOOKUP(D53, Lookups!$E$2:$F$8,2,FALSE)&amp;C53</f>
        <v>ColonTwo Week Wait3+</v>
      </c>
      <c r="B53" t="s">
        <v>17</v>
      </c>
      <c r="C53" t="s">
        <v>40</v>
      </c>
      <c r="D53" t="s">
        <v>31</v>
      </c>
      <c r="E53" s="1">
        <v>0.4899497487437186</v>
      </c>
      <c r="F53" s="1">
        <v>4.690117252931323E-2</v>
      </c>
      <c r="G53" s="1">
        <v>1.423785594639866E-2</v>
      </c>
      <c r="H53" s="1">
        <v>0.11222780569514237</v>
      </c>
      <c r="I53" s="1">
        <v>8.3752093802345051E-3</v>
      </c>
      <c r="J53" s="1">
        <v>4.1876046901172526E-3</v>
      </c>
      <c r="K53" s="1">
        <v>0.32160804020100503</v>
      </c>
      <c r="L53" s="1">
        <v>2.5125628140703518E-3</v>
      </c>
      <c r="M53" s="1">
        <v>1</v>
      </c>
      <c r="N53" s="2">
        <v>1194</v>
      </c>
      <c r="P53" s="1">
        <v>0.46200000000000002</v>
      </c>
      <c r="Q53" s="1">
        <v>0.51800000000000002</v>
      </c>
      <c r="R53" s="1">
        <v>3.5999999999999997E-2</v>
      </c>
      <c r="S53" s="1">
        <v>0.06</v>
      </c>
      <c r="T53" s="1">
        <v>8.9999999999999993E-3</v>
      </c>
      <c r="U53" s="1">
        <v>2.3E-2</v>
      </c>
      <c r="V53" s="1">
        <v>9.6000000000000002E-2</v>
      </c>
      <c r="W53" s="1">
        <v>0.13100000000000001</v>
      </c>
      <c r="X53" s="1">
        <v>5.0000000000000001E-3</v>
      </c>
      <c r="Y53" s="1">
        <v>1.4999999999999999E-2</v>
      </c>
      <c r="Z53" s="1">
        <v>2E-3</v>
      </c>
      <c r="AA53" s="1">
        <v>0.01</v>
      </c>
      <c r="AB53" s="1">
        <v>0.29599999999999999</v>
      </c>
      <c r="AC53" s="1">
        <v>0.34899999999999998</v>
      </c>
      <c r="AD53" s="1">
        <v>1E-3</v>
      </c>
      <c r="AE53" s="1">
        <v>7.0000000000000001E-3</v>
      </c>
    </row>
    <row r="54" spans="1:31" x14ac:dyDescent="0.25">
      <c r="A54" t="str">
        <f>B54&amp;VLOOKUP(D54, Lookups!$E$2:$F$8,2,FALSE)&amp;C54</f>
        <v>ColonGP referral3+</v>
      </c>
      <c r="B54" t="s">
        <v>17</v>
      </c>
      <c r="C54" t="s">
        <v>40</v>
      </c>
      <c r="D54" t="s">
        <v>2</v>
      </c>
      <c r="E54" s="1">
        <v>0.46921182266009853</v>
      </c>
      <c r="F54" s="1">
        <v>4.064039408866995E-2</v>
      </c>
      <c r="G54" s="1">
        <v>1.5394088669950739E-2</v>
      </c>
      <c r="H54" s="1">
        <v>7.6354679802955669E-2</v>
      </c>
      <c r="I54" s="1">
        <v>6.7733990147783255E-3</v>
      </c>
      <c r="J54" s="1">
        <v>6.1576354679802959E-3</v>
      </c>
      <c r="K54" s="1">
        <v>0.37992610837438423</v>
      </c>
      <c r="L54" s="1">
        <v>5.5418719211822662E-3</v>
      </c>
      <c r="M54" s="1">
        <v>1</v>
      </c>
      <c r="N54" s="2">
        <v>1624</v>
      </c>
      <c r="P54" s="1">
        <v>0.44500000000000001</v>
      </c>
      <c r="Q54" s="1">
        <v>0.49399999999999999</v>
      </c>
      <c r="R54" s="1">
        <v>3.2000000000000001E-2</v>
      </c>
      <c r="S54" s="1">
        <v>5.0999999999999997E-2</v>
      </c>
      <c r="T54" s="1">
        <v>0.01</v>
      </c>
      <c r="U54" s="1">
        <v>2.3E-2</v>
      </c>
      <c r="V54" s="1">
        <v>6.4000000000000001E-2</v>
      </c>
      <c r="W54" s="1">
        <v>0.09</v>
      </c>
      <c r="X54" s="1">
        <v>4.0000000000000001E-3</v>
      </c>
      <c r="Y54" s="1">
        <v>1.2E-2</v>
      </c>
      <c r="Z54" s="1">
        <v>3.0000000000000001E-3</v>
      </c>
      <c r="AA54" s="1">
        <v>1.0999999999999999E-2</v>
      </c>
      <c r="AB54" s="1">
        <v>0.35699999999999998</v>
      </c>
      <c r="AC54" s="1">
        <v>0.40400000000000003</v>
      </c>
      <c r="AD54" s="1">
        <v>3.0000000000000001E-3</v>
      </c>
      <c r="AE54" s="1">
        <v>0.01</v>
      </c>
    </row>
    <row r="55" spans="1:31" x14ac:dyDescent="0.25">
      <c r="A55" t="str">
        <f>B55&amp;VLOOKUP(D55, Lookups!$E$2:$F$8,2,FALSE)&amp;C55</f>
        <v>ColonIP &amp; OP3+</v>
      </c>
      <c r="B55" t="s">
        <v>17</v>
      </c>
      <c r="C55" t="s">
        <v>40</v>
      </c>
      <c r="D55" t="s">
        <v>32</v>
      </c>
      <c r="E55" s="1">
        <v>0.49327354260089684</v>
      </c>
      <c r="F55" s="1">
        <v>5.1569506726457402E-2</v>
      </c>
      <c r="G55" s="1">
        <v>1.5695067264573991E-2</v>
      </c>
      <c r="H55" s="1">
        <v>8.2959641255605385E-2</v>
      </c>
      <c r="I55" s="1">
        <v>5.6053811659192822E-3</v>
      </c>
      <c r="J55" s="1">
        <v>5.6053811659192822E-3</v>
      </c>
      <c r="K55" s="1">
        <v>0.3452914798206278</v>
      </c>
      <c r="L55" s="1">
        <v>0</v>
      </c>
      <c r="M55" s="1">
        <v>1</v>
      </c>
      <c r="N55" s="2">
        <v>892</v>
      </c>
      <c r="P55" s="1">
        <v>0.46100000000000002</v>
      </c>
      <c r="Q55" s="1">
        <v>0.52600000000000002</v>
      </c>
      <c r="R55" s="1">
        <v>3.9E-2</v>
      </c>
      <c r="S55" s="1">
        <v>6.8000000000000005E-2</v>
      </c>
      <c r="T55" s="1">
        <v>8.9999999999999993E-3</v>
      </c>
      <c r="U55" s="1">
        <v>2.5999999999999999E-2</v>
      </c>
      <c r="V55" s="1">
        <v>6.7000000000000004E-2</v>
      </c>
      <c r="W55" s="1">
        <v>0.10299999999999999</v>
      </c>
      <c r="X55" s="1">
        <v>2E-3</v>
      </c>
      <c r="Y55" s="1">
        <v>1.2999999999999999E-2</v>
      </c>
      <c r="Z55" s="1">
        <v>2E-3</v>
      </c>
      <c r="AA55" s="1">
        <v>1.2999999999999999E-2</v>
      </c>
      <c r="AB55" s="1">
        <v>0.315</v>
      </c>
      <c r="AC55" s="1">
        <v>0.377</v>
      </c>
      <c r="AD55" s="1">
        <v>0</v>
      </c>
      <c r="AE55" s="1">
        <v>4.0000000000000001E-3</v>
      </c>
    </row>
    <row r="56" spans="1:31" x14ac:dyDescent="0.25">
      <c r="A56" t="str">
        <f>B56&amp;VLOOKUP(D56, Lookups!$E$2:$F$8,2,FALSE)&amp;C56</f>
        <v>ColonEmergency presentation3+</v>
      </c>
      <c r="B56" t="s">
        <v>17</v>
      </c>
      <c r="C56" t="s">
        <v>40</v>
      </c>
      <c r="D56" t="s">
        <v>33</v>
      </c>
      <c r="E56" s="1">
        <v>0.29344122657580918</v>
      </c>
      <c r="F56" s="1">
        <v>1.8313458262350937E-2</v>
      </c>
      <c r="G56" s="1">
        <v>1.0647359454855196E-2</v>
      </c>
      <c r="H56" s="1">
        <v>4.4293015332197615E-2</v>
      </c>
      <c r="I56" s="1">
        <v>4.6848381601362864E-3</v>
      </c>
      <c r="J56" s="1">
        <v>1.7035775127768314E-3</v>
      </c>
      <c r="K56" s="1">
        <v>0.62563884156729133</v>
      </c>
      <c r="L56" s="1">
        <v>1.2776831345826234E-3</v>
      </c>
      <c r="M56" s="1">
        <v>1</v>
      </c>
      <c r="N56" s="2">
        <v>2348</v>
      </c>
      <c r="P56" s="1">
        <v>0.27500000000000002</v>
      </c>
      <c r="Q56" s="1">
        <v>0.312</v>
      </c>
      <c r="R56" s="1">
        <v>1.4E-2</v>
      </c>
      <c r="S56" s="1">
        <v>2.5000000000000001E-2</v>
      </c>
      <c r="T56" s="1">
        <v>7.0000000000000001E-3</v>
      </c>
      <c r="U56" s="1">
        <v>1.6E-2</v>
      </c>
      <c r="V56" s="1">
        <v>3.6999999999999998E-2</v>
      </c>
      <c r="W56" s="1">
        <v>5.2999999999999999E-2</v>
      </c>
      <c r="X56" s="1">
        <v>3.0000000000000001E-3</v>
      </c>
      <c r="Y56" s="1">
        <v>8.0000000000000002E-3</v>
      </c>
      <c r="Z56" s="1">
        <v>1E-3</v>
      </c>
      <c r="AA56" s="1">
        <v>4.0000000000000001E-3</v>
      </c>
      <c r="AB56" s="1">
        <v>0.60599999999999998</v>
      </c>
      <c r="AC56" s="1">
        <v>0.64500000000000002</v>
      </c>
      <c r="AD56" s="1">
        <v>0</v>
      </c>
      <c r="AE56" s="1">
        <v>4.0000000000000001E-3</v>
      </c>
    </row>
    <row r="57" spans="1:31" x14ac:dyDescent="0.25">
      <c r="A57" t="str">
        <f>B57&amp;VLOOKUP(D57, Lookups!$E$2:$F$8,2,FALSE)&amp;C57</f>
        <v>ColonUnknown3+</v>
      </c>
      <c r="B57" t="s">
        <v>17</v>
      </c>
      <c r="C57" t="s">
        <v>40</v>
      </c>
      <c r="D57" t="s">
        <v>4</v>
      </c>
      <c r="E57" s="1">
        <v>0.13207547169811321</v>
      </c>
      <c r="F57" s="1">
        <v>3.7735849056603772E-2</v>
      </c>
      <c r="G57" s="1">
        <v>0</v>
      </c>
      <c r="H57" s="1">
        <v>3.7735849056603772E-2</v>
      </c>
      <c r="I57" s="1">
        <v>0</v>
      </c>
      <c r="J57" s="1">
        <v>1.8867924528301886E-2</v>
      </c>
      <c r="K57" s="1">
        <v>0.75471698113207553</v>
      </c>
      <c r="L57" s="1">
        <v>1.8867924528301886E-2</v>
      </c>
      <c r="M57" s="1">
        <v>1</v>
      </c>
      <c r="N57" s="2">
        <v>53</v>
      </c>
      <c r="P57" s="1">
        <v>6.5000000000000002E-2</v>
      </c>
      <c r="Q57" s="1">
        <v>0.248</v>
      </c>
      <c r="R57" s="1">
        <v>0.01</v>
      </c>
      <c r="S57" s="1">
        <v>0.128</v>
      </c>
      <c r="T57" s="1">
        <v>0</v>
      </c>
      <c r="U57" s="1">
        <v>6.8000000000000005E-2</v>
      </c>
      <c r="V57" s="1">
        <v>0.01</v>
      </c>
      <c r="W57" s="1">
        <v>0.128</v>
      </c>
      <c r="X57" s="1">
        <v>0</v>
      </c>
      <c r="Y57" s="1">
        <v>6.8000000000000005E-2</v>
      </c>
      <c r="Z57" s="1">
        <v>3.0000000000000001E-3</v>
      </c>
      <c r="AA57" s="1">
        <v>9.9000000000000005E-2</v>
      </c>
      <c r="AB57" s="1">
        <v>0.624</v>
      </c>
      <c r="AC57" s="1">
        <v>0.85099999999999998</v>
      </c>
      <c r="AD57" s="1">
        <v>3.0000000000000001E-3</v>
      </c>
      <c r="AE57" s="1">
        <v>9.9000000000000005E-2</v>
      </c>
    </row>
    <row r="58" spans="1:31" x14ac:dyDescent="0.25">
      <c r="A58" t="str">
        <f>B58&amp;VLOOKUP(D58, Lookups!$E$2:$F$8,2,FALSE)&amp;C58</f>
        <v>ColonAll Routes3+</v>
      </c>
      <c r="B58" t="s">
        <v>17</v>
      </c>
      <c r="C58" t="s">
        <v>40</v>
      </c>
      <c r="D58" t="s">
        <v>34</v>
      </c>
      <c r="E58" s="1">
        <v>0.41593613024420789</v>
      </c>
      <c r="F58" s="1">
        <v>3.5222291797119602E-2</v>
      </c>
      <c r="G58" s="1">
        <v>1.3149655604257984E-2</v>
      </c>
      <c r="H58" s="1">
        <v>7.6393237319974952E-2</v>
      </c>
      <c r="I58" s="1">
        <v>5.9486537257357544E-3</v>
      </c>
      <c r="J58" s="1">
        <v>3.9135879774577333E-3</v>
      </c>
      <c r="K58" s="1">
        <v>0.44646211646837819</v>
      </c>
      <c r="L58" s="1">
        <v>2.9743268628678772E-3</v>
      </c>
      <c r="M58" s="1">
        <v>1</v>
      </c>
      <c r="N58" s="2">
        <v>6388</v>
      </c>
      <c r="P58" s="1">
        <v>0.40400000000000003</v>
      </c>
      <c r="Q58" s="1">
        <v>0.42799999999999999</v>
      </c>
      <c r="R58" s="1">
        <v>3.1E-2</v>
      </c>
      <c r="S58" s="1">
        <v>0.04</v>
      </c>
      <c r="T58" s="1">
        <v>1.0999999999999999E-2</v>
      </c>
      <c r="U58" s="1">
        <v>1.6E-2</v>
      </c>
      <c r="V58" s="1">
        <v>7.0000000000000007E-2</v>
      </c>
      <c r="W58" s="1">
        <v>8.3000000000000004E-2</v>
      </c>
      <c r="X58" s="1">
        <v>4.0000000000000001E-3</v>
      </c>
      <c r="Y58" s="1">
        <v>8.0000000000000002E-3</v>
      </c>
      <c r="Z58" s="1">
        <v>3.0000000000000001E-3</v>
      </c>
      <c r="AA58" s="1">
        <v>6.0000000000000001E-3</v>
      </c>
      <c r="AB58" s="1">
        <v>0.434</v>
      </c>
      <c r="AC58" s="1">
        <v>0.45900000000000002</v>
      </c>
      <c r="AD58" s="1">
        <v>2E-3</v>
      </c>
      <c r="AE58" s="1">
        <v>5.0000000000000001E-3</v>
      </c>
    </row>
    <row r="59" spans="1:31" x14ac:dyDescent="0.25">
      <c r="A59" t="str">
        <f>B59&amp;VLOOKUP(D59, Lookups!$E$2:$F$8,2,FALSE)&amp;C59</f>
        <v>RectumScreen detected0</v>
      </c>
      <c r="B59" t="s">
        <v>18</v>
      </c>
      <c r="C59">
        <v>0</v>
      </c>
      <c r="D59" t="s">
        <v>30</v>
      </c>
      <c r="E59" s="1">
        <v>0.46147071774548659</v>
      </c>
      <c r="F59" s="1">
        <v>2.5979744605900485E-2</v>
      </c>
      <c r="G59" s="1">
        <v>9.687362395420519E-3</v>
      </c>
      <c r="H59" s="1">
        <v>0.18538088947600176</v>
      </c>
      <c r="I59" s="1">
        <v>7.1334214002642005E-2</v>
      </c>
      <c r="J59" s="1">
        <v>4.0510788199031263E-2</v>
      </c>
      <c r="K59" s="1">
        <v>3.2144429766622636E-2</v>
      </c>
      <c r="L59" s="1">
        <v>0.17349185380889476</v>
      </c>
      <c r="M59" s="1">
        <v>1</v>
      </c>
      <c r="N59" s="2">
        <v>2271</v>
      </c>
      <c r="P59" s="1">
        <v>0.441</v>
      </c>
      <c r="Q59" s="1">
        <v>0.48199999999999998</v>
      </c>
      <c r="R59" s="1">
        <v>0.02</v>
      </c>
      <c r="S59" s="1">
        <v>3.3000000000000002E-2</v>
      </c>
      <c r="T59" s="1">
        <v>6.0000000000000001E-3</v>
      </c>
      <c r="U59" s="1">
        <v>1.4999999999999999E-2</v>
      </c>
      <c r="V59" s="1">
        <v>0.17</v>
      </c>
      <c r="W59" s="1">
        <v>0.20200000000000001</v>
      </c>
      <c r="X59" s="1">
        <v>6.0999999999999999E-2</v>
      </c>
      <c r="Y59" s="1">
        <v>8.3000000000000004E-2</v>
      </c>
      <c r="Z59" s="1">
        <v>3.3000000000000002E-2</v>
      </c>
      <c r="AA59" s="1">
        <v>4.9000000000000002E-2</v>
      </c>
      <c r="AB59" s="1">
        <v>2.5999999999999999E-2</v>
      </c>
      <c r="AC59" s="1">
        <v>0.04</v>
      </c>
      <c r="AD59" s="1">
        <v>0.158</v>
      </c>
      <c r="AE59" s="1">
        <v>0.19</v>
      </c>
    </row>
    <row r="60" spans="1:31" x14ac:dyDescent="0.25">
      <c r="A60" t="str">
        <f>B60&amp;VLOOKUP(D60, Lookups!$E$2:$F$8,2,FALSE)&amp;C60</f>
        <v>RectumTwo Week Wait0</v>
      </c>
      <c r="B60" t="s">
        <v>18</v>
      </c>
      <c r="C60">
        <v>0</v>
      </c>
      <c r="D60" t="s">
        <v>31</v>
      </c>
      <c r="E60" s="1">
        <v>0.24480526853639151</v>
      </c>
      <c r="F60" s="1">
        <v>6.6651527194277277E-2</v>
      </c>
      <c r="G60" s="1">
        <v>5.9157488361530598E-2</v>
      </c>
      <c r="H60" s="1">
        <v>0.12138071988191211</v>
      </c>
      <c r="I60" s="1">
        <v>7.7211309185874877E-2</v>
      </c>
      <c r="J60" s="1">
        <v>0.11025320767571251</v>
      </c>
      <c r="K60" s="1">
        <v>7.1079822868173048E-2</v>
      </c>
      <c r="L60" s="1">
        <v>0.24946065629612807</v>
      </c>
      <c r="M60" s="1">
        <v>1</v>
      </c>
      <c r="N60" s="2">
        <v>8807</v>
      </c>
      <c r="P60" s="1">
        <v>0.23599999999999999</v>
      </c>
      <c r="Q60" s="1">
        <v>0.254</v>
      </c>
      <c r="R60" s="1">
        <v>6.2E-2</v>
      </c>
      <c r="S60" s="1">
        <v>7.1999999999999995E-2</v>
      </c>
      <c r="T60" s="1">
        <v>5.3999999999999999E-2</v>
      </c>
      <c r="U60" s="1">
        <v>6.4000000000000001E-2</v>
      </c>
      <c r="V60" s="1">
        <v>0.115</v>
      </c>
      <c r="W60" s="1">
        <v>0.128</v>
      </c>
      <c r="X60" s="1">
        <v>7.1999999999999995E-2</v>
      </c>
      <c r="Y60" s="1">
        <v>8.3000000000000004E-2</v>
      </c>
      <c r="Z60" s="1">
        <v>0.104</v>
      </c>
      <c r="AA60" s="1">
        <v>0.11700000000000001</v>
      </c>
      <c r="AB60" s="1">
        <v>6.6000000000000003E-2</v>
      </c>
      <c r="AC60" s="1">
        <v>7.6999999999999999E-2</v>
      </c>
      <c r="AD60" s="1">
        <v>0.24099999999999999</v>
      </c>
      <c r="AE60" s="1">
        <v>0.25900000000000001</v>
      </c>
    </row>
    <row r="61" spans="1:31" x14ac:dyDescent="0.25">
      <c r="A61" t="str">
        <f>B61&amp;VLOOKUP(D61, Lookups!$E$2:$F$8,2,FALSE)&amp;C61</f>
        <v>RectumGP referral0</v>
      </c>
      <c r="B61" t="s">
        <v>18</v>
      </c>
      <c r="C61">
        <v>0</v>
      </c>
      <c r="D61" t="s">
        <v>2</v>
      </c>
      <c r="E61" s="1">
        <v>0.29652996845425866</v>
      </c>
      <c r="F61" s="1">
        <v>4.8698738170347006E-2</v>
      </c>
      <c r="G61" s="1">
        <v>6.0725552050473183E-2</v>
      </c>
      <c r="H61" s="1">
        <v>0.10942429022082019</v>
      </c>
      <c r="I61" s="1">
        <v>6.6246056782334389E-2</v>
      </c>
      <c r="J61" s="1">
        <v>9.1088328075709782E-2</v>
      </c>
      <c r="K61" s="1">
        <v>0.12835173501577288</v>
      </c>
      <c r="L61" s="1">
        <v>0.19893533123028392</v>
      </c>
      <c r="M61" s="1">
        <v>1</v>
      </c>
      <c r="N61" s="2">
        <v>5072</v>
      </c>
      <c r="P61" s="1">
        <v>0.28399999999999997</v>
      </c>
      <c r="Q61" s="1">
        <v>0.309</v>
      </c>
      <c r="R61" s="1">
        <v>4.2999999999999997E-2</v>
      </c>
      <c r="S61" s="1">
        <v>5.5E-2</v>
      </c>
      <c r="T61" s="1">
        <v>5.3999999999999999E-2</v>
      </c>
      <c r="U61" s="1">
        <v>6.8000000000000005E-2</v>
      </c>
      <c r="V61" s="1">
        <v>0.10100000000000001</v>
      </c>
      <c r="W61" s="1">
        <v>0.11799999999999999</v>
      </c>
      <c r="X61" s="1">
        <v>0.06</v>
      </c>
      <c r="Y61" s="1">
        <v>7.2999999999999995E-2</v>
      </c>
      <c r="Z61" s="1">
        <v>8.3000000000000004E-2</v>
      </c>
      <c r="AA61" s="1">
        <v>9.9000000000000005E-2</v>
      </c>
      <c r="AB61" s="1">
        <v>0.11899999999999999</v>
      </c>
      <c r="AC61" s="1">
        <v>0.13800000000000001</v>
      </c>
      <c r="AD61" s="1">
        <v>0.188</v>
      </c>
      <c r="AE61" s="1">
        <v>0.21</v>
      </c>
    </row>
    <row r="62" spans="1:31" x14ac:dyDescent="0.25">
      <c r="A62" t="str">
        <f>B62&amp;VLOOKUP(D62, Lookups!$E$2:$F$8,2,FALSE)&amp;C62</f>
        <v>RectumIP &amp; OP0</v>
      </c>
      <c r="B62" t="s">
        <v>18</v>
      </c>
      <c r="C62">
        <v>0</v>
      </c>
      <c r="D62" t="s">
        <v>32</v>
      </c>
      <c r="E62" s="1">
        <v>0.34772727272727272</v>
      </c>
      <c r="F62" s="1">
        <v>5.7954545454545453E-2</v>
      </c>
      <c r="G62" s="1">
        <v>3.806818181818182E-2</v>
      </c>
      <c r="H62" s="1">
        <v>0.12613636363636363</v>
      </c>
      <c r="I62" s="1">
        <v>0.05</v>
      </c>
      <c r="J62" s="1">
        <v>7.4431818181818182E-2</v>
      </c>
      <c r="K62" s="1">
        <v>0.13352272727272727</v>
      </c>
      <c r="L62" s="1">
        <v>0.1721590909090909</v>
      </c>
      <c r="M62" s="1">
        <v>1</v>
      </c>
      <c r="N62" s="2">
        <v>1760</v>
      </c>
      <c r="P62" s="1">
        <v>0.32600000000000001</v>
      </c>
      <c r="Q62" s="1">
        <v>0.37</v>
      </c>
      <c r="R62" s="1">
        <v>4.8000000000000001E-2</v>
      </c>
      <c r="S62" s="1">
        <v>7.0000000000000007E-2</v>
      </c>
      <c r="T62" s="1">
        <v>0.03</v>
      </c>
      <c r="U62" s="1">
        <v>4.8000000000000001E-2</v>
      </c>
      <c r="V62" s="1">
        <v>0.111</v>
      </c>
      <c r="W62" s="1">
        <v>0.14199999999999999</v>
      </c>
      <c r="X62" s="1">
        <v>4.1000000000000002E-2</v>
      </c>
      <c r="Y62" s="1">
        <v>6.0999999999999999E-2</v>
      </c>
      <c r="Z62" s="1">
        <v>6.3E-2</v>
      </c>
      <c r="AA62" s="1">
        <v>8.7999999999999995E-2</v>
      </c>
      <c r="AB62" s="1">
        <v>0.11799999999999999</v>
      </c>
      <c r="AC62" s="1">
        <v>0.15</v>
      </c>
      <c r="AD62" s="1">
        <v>0.155</v>
      </c>
      <c r="AE62" s="1">
        <v>0.191</v>
      </c>
    </row>
    <row r="63" spans="1:31" x14ac:dyDescent="0.25">
      <c r="A63" t="str">
        <f>B63&amp;VLOOKUP(D63, Lookups!$E$2:$F$8,2,FALSE)&amp;C63</f>
        <v>RectumEmergency presentation0</v>
      </c>
      <c r="B63" t="s">
        <v>18</v>
      </c>
      <c r="C63">
        <v>0</v>
      </c>
      <c r="D63" t="s">
        <v>33</v>
      </c>
      <c r="E63" s="1">
        <v>0.14347125201504568</v>
      </c>
      <c r="F63" s="1">
        <v>6.4481461579795812E-2</v>
      </c>
      <c r="G63" s="1">
        <v>8.6512627619559371E-2</v>
      </c>
      <c r="H63" s="1">
        <v>7.684040838259E-2</v>
      </c>
      <c r="I63" s="1">
        <v>3.277807630306287E-2</v>
      </c>
      <c r="J63" s="1">
        <v>8.7049973132724348E-2</v>
      </c>
      <c r="K63" s="1">
        <v>0.4234282643739925</v>
      </c>
      <c r="L63" s="1">
        <v>8.5437936593229444E-2</v>
      </c>
      <c r="M63" s="1">
        <v>1</v>
      </c>
      <c r="N63" s="2">
        <v>1861</v>
      </c>
      <c r="P63" s="1">
        <v>0.128</v>
      </c>
      <c r="Q63" s="1">
        <v>0.16</v>
      </c>
      <c r="R63" s="1">
        <v>5.3999999999999999E-2</v>
      </c>
      <c r="S63" s="1">
        <v>7.6999999999999999E-2</v>
      </c>
      <c r="T63" s="1">
        <v>7.4999999999999997E-2</v>
      </c>
      <c r="U63" s="1">
        <v>0.1</v>
      </c>
      <c r="V63" s="1">
        <v>6.6000000000000003E-2</v>
      </c>
      <c r="W63" s="1">
        <v>0.09</v>
      </c>
      <c r="X63" s="1">
        <v>2.5999999999999999E-2</v>
      </c>
      <c r="Y63" s="1">
        <v>4.2000000000000003E-2</v>
      </c>
      <c r="Z63" s="1">
        <v>7.4999999999999997E-2</v>
      </c>
      <c r="AA63" s="1">
        <v>0.10100000000000001</v>
      </c>
      <c r="AB63" s="1">
        <v>0.40100000000000002</v>
      </c>
      <c r="AC63" s="1">
        <v>0.44600000000000001</v>
      </c>
      <c r="AD63" s="1">
        <v>7.3999999999999996E-2</v>
      </c>
      <c r="AE63" s="1">
        <v>9.9000000000000005E-2</v>
      </c>
    </row>
    <row r="64" spans="1:31" x14ac:dyDescent="0.25">
      <c r="A64" t="str">
        <f>B64&amp;VLOOKUP(D64, Lookups!$E$2:$F$8,2,FALSE)&amp;C64</f>
        <v>RectumUnknown0</v>
      </c>
      <c r="B64" t="s">
        <v>18</v>
      </c>
      <c r="C64">
        <v>0</v>
      </c>
      <c r="D64" t="s">
        <v>4</v>
      </c>
      <c r="E64" s="1">
        <v>0.25936599423631124</v>
      </c>
      <c r="F64" s="1">
        <v>4.8991354466858789E-2</v>
      </c>
      <c r="G64" s="1">
        <v>7.060518731988473E-2</v>
      </c>
      <c r="H64" s="1">
        <v>6.9164265129683003E-2</v>
      </c>
      <c r="I64" s="1">
        <v>6.3400576368876083E-2</v>
      </c>
      <c r="J64" s="1">
        <v>5.9077809798270896E-2</v>
      </c>
      <c r="K64" s="1">
        <v>0.30979827089337175</v>
      </c>
      <c r="L64" s="1">
        <v>0.11959654178674352</v>
      </c>
      <c r="M64" s="1">
        <v>1</v>
      </c>
      <c r="N64" s="2">
        <v>694</v>
      </c>
      <c r="P64" s="1">
        <v>0.22800000000000001</v>
      </c>
      <c r="Q64" s="1">
        <v>0.29299999999999998</v>
      </c>
      <c r="R64" s="1">
        <v>3.5000000000000003E-2</v>
      </c>
      <c r="S64" s="1">
        <v>6.8000000000000005E-2</v>
      </c>
      <c r="T64" s="1">
        <v>5.3999999999999999E-2</v>
      </c>
      <c r="U64" s="1">
        <v>9.1999999999999998E-2</v>
      </c>
      <c r="V64" s="1">
        <v>5.2999999999999999E-2</v>
      </c>
      <c r="W64" s="1">
        <v>9.0999999999999998E-2</v>
      </c>
      <c r="X64" s="1">
        <v>4.8000000000000001E-2</v>
      </c>
      <c r="Y64" s="1">
        <v>8.4000000000000005E-2</v>
      </c>
      <c r="Z64" s="1">
        <v>4.3999999999999997E-2</v>
      </c>
      <c r="AA64" s="1">
        <v>7.9000000000000001E-2</v>
      </c>
      <c r="AB64" s="1">
        <v>0.27700000000000002</v>
      </c>
      <c r="AC64" s="1">
        <v>0.34499999999999997</v>
      </c>
      <c r="AD64" s="1">
        <v>9.8000000000000004E-2</v>
      </c>
      <c r="AE64" s="1">
        <v>0.14599999999999999</v>
      </c>
    </row>
    <row r="65" spans="1:31" x14ac:dyDescent="0.25">
      <c r="A65" t="str">
        <f>B65&amp;VLOOKUP(D65, Lookups!$E$2:$F$8,2,FALSE)&amp;C65</f>
        <v>RectumAll Routes0</v>
      </c>
      <c r="B65" t="s">
        <v>18</v>
      </c>
      <c r="C65">
        <v>0</v>
      </c>
      <c r="D65" t="s">
        <v>34</v>
      </c>
      <c r="E65" s="1">
        <v>0.28179819203518203</v>
      </c>
      <c r="F65" s="1">
        <v>5.6144637185438551E-2</v>
      </c>
      <c r="G65" s="1">
        <v>5.5118494991448816E-2</v>
      </c>
      <c r="H65" s="1">
        <v>0.12010750061079893</v>
      </c>
      <c r="I65" s="1">
        <v>6.6992426093330074E-2</v>
      </c>
      <c r="J65" s="1">
        <v>9.0838016125091625E-2</v>
      </c>
      <c r="K65" s="1">
        <v>0.1264598094307354</v>
      </c>
      <c r="L65" s="1">
        <v>0.20254092352797459</v>
      </c>
      <c r="M65" s="1">
        <v>1</v>
      </c>
      <c r="N65" s="2">
        <v>20465</v>
      </c>
      <c r="P65" s="1">
        <v>0.27600000000000002</v>
      </c>
      <c r="Q65" s="1">
        <v>0.28799999999999998</v>
      </c>
      <c r="R65" s="1">
        <v>5.2999999999999999E-2</v>
      </c>
      <c r="S65" s="1">
        <v>5.8999999999999997E-2</v>
      </c>
      <c r="T65" s="1">
        <v>5.1999999999999998E-2</v>
      </c>
      <c r="U65" s="1">
        <v>5.8000000000000003E-2</v>
      </c>
      <c r="V65" s="1">
        <v>0.11600000000000001</v>
      </c>
      <c r="W65" s="1">
        <v>0.125</v>
      </c>
      <c r="X65" s="1">
        <v>6.4000000000000001E-2</v>
      </c>
      <c r="Y65" s="1">
        <v>7.0000000000000007E-2</v>
      </c>
      <c r="Z65" s="1">
        <v>8.6999999999999994E-2</v>
      </c>
      <c r="AA65" s="1">
        <v>9.5000000000000001E-2</v>
      </c>
      <c r="AB65" s="1">
        <v>0.122</v>
      </c>
      <c r="AC65" s="1">
        <v>0.13100000000000001</v>
      </c>
      <c r="AD65" s="1">
        <v>0.19700000000000001</v>
      </c>
      <c r="AE65" s="1">
        <v>0.20799999999999999</v>
      </c>
    </row>
    <row r="66" spans="1:31" x14ac:dyDescent="0.25">
      <c r="A66" t="str">
        <f>B66&amp;VLOOKUP(D66, Lookups!$E$2:$F$8,2,FALSE)&amp;C66</f>
        <v>RectumScreen detected1</v>
      </c>
      <c r="B66" t="s">
        <v>18</v>
      </c>
      <c r="C66">
        <v>1</v>
      </c>
      <c r="D66" t="s">
        <v>30</v>
      </c>
      <c r="E66" s="1">
        <v>0.44785276073619634</v>
      </c>
      <c r="F66" s="1">
        <v>1.2269938650306749E-2</v>
      </c>
      <c r="G66" s="1">
        <v>2.4539877300613498E-2</v>
      </c>
      <c r="H66" s="1">
        <v>0.16564417177914109</v>
      </c>
      <c r="I66" s="1">
        <v>9.815950920245399E-2</v>
      </c>
      <c r="J66" s="1">
        <v>6.1349693251533742E-2</v>
      </c>
      <c r="K66" s="1">
        <v>3.0674846625766871E-2</v>
      </c>
      <c r="L66" s="1">
        <v>0.15950920245398773</v>
      </c>
      <c r="M66" s="1">
        <v>1</v>
      </c>
      <c r="N66" s="2">
        <v>326</v>
      </c>
      <c r="P66" s="1">
        <v>0.39500000000000002</v>
      </c>
      <c r="Q66" s="1">
        <v>0.502</v>
      </c>
      <c r="R66" s="1">
        <v>5.0000000000000001E-3</v>
      </c>
      <c r="S66" s="1">
        <v>3.1E-2</v>
      </c>
      <c r="T66" s="1">
        <v>1.2E-2</v>
      </c>
      <c r="U66" s="1">
        <v>4.8000000000000001E-2</v>
      </c>
      <c r="V66" s="1">
        <v>0.129</v>
      </c>
      <c r="W66" s="1">
        <v>0.21</v>
      </c>
      <c r="X66" s="1">
        <v>7.0000000000000007E-2</v>
      </c>
      <c r="Y66" s="1">
        <v>0.13500000000000001</v>
      </c>
      <c r="Z66" s="1">
        <v>0.04</v>
      </c>
      <c r="AA66" s="1">
        <v>9.2999999999999999E-2</v>
      </c>
      <c r="AB66" s="1">
        <v>1.7000000000000001E-2</v>
      </c>
      <c r="AC66" s="1">
        <v>5.6000000000000001E-2</v>
      </c>
      <c r="AD66" s="1">
        <v>0.124</v>
      </c>
      <c r="AE66" s="1">
        <v>0.20300000000000001</v>
      </c>
    </row>
    <row r="67" spans="1:31" x14ac:dyDescent="0.25">
      <c r="A67" t="str">
        <f>B67&amp;VLOOKUP(D67, Lookups!$E$2:$F$8,2,FALSE)&amp;C67</f>
        <v>RectumTwo Week Wait1</v>
      </c>
      <c r="B67" t="s">
        <v>18</v>
      </c>
      <c r="C67">
        <v>1</v>
      </c>
      <c r="D67" t="s">
        <v>31</v>
      </c>
      <c r="E67" s="1">
        <v>0.31146304675716441</v>
      </c>
      <c r="F67" s="1">
        <v>4.9773755656108594E-2</v>
      </c>
      <c r="G67" s="1">
        <v>0.11463046757164404</v>
      </c>
      <c r="H67" s="1">
        <v>8.1447963800904979E-2</v>
      </c>
      <c r="I67" s="1">
        <v>8.069381598793364E-2</v>
      </c>
      <c r="J67" s="1">
        <v>9.4268476621417796E-2</v>
      </c>
      <c r="K67" s="1">
        <v>0.11764705882352941</v>
      </c>
      <c r="L67" s="1">
        <v>0.15007541478129713</v>
      </c>
      <c r="M67" s="1">
        <v>1</v>
      </c>
      <c r="N67" s="2">
        <v>1326</v>
      </c>
      <c r="P67" s="1">
        <v>0.28699999999999998</v>
      </c>
      <c r="Q67" s="1">
        <v>0.33700000000000002</v>
      </c>
      <c r="R67" s="1">
        <v>3.9E-2</v>
      </c>
      <c r="S67" s="1">
        <v>6.3E-2</v>
      </c>
      <c r="T67" s="1">
        <v>9.9000000000000005E-2</v>
      </c>
      <c r="U67" s="1">
        <v>0.13300000000000001</v>
      </c>
      <c r="V67" s="1">
        <v>6.8000000000000005E-2</v>
      </c>
      <c r="W67" s="1">
        <v>9.7000000000000003E-2</v>
      </c>
      <c r="X67" s="1">
        <v>6.7000000000000004E-2</v>
      </c>
      <c r="Y67" s="1">
        <v>9.7000000000000003E-2</v>
      </c>
      <c r="Z67" s="1">
        <v>0.08</v>
      </c>
      <c r="AA67" s="1">
        <v>0.111</v>
      </c>
      <c r="AB67" s="1">
        <v>0.10100000000000001</v>
      </c>
      <c r="AC67" s="1">
        <v>0.13600000000000001</v>
      </c>
      <c r="AD67" s="1">
        <v>0.13200000000000001</v>
      </c>
      <c r="AE67" s="1">
        <v>0.17</v>
      </c>
    </row>
    <row r="68" spans="1:31" x14ac:dyDescent="0.25">
      <c r="A68" t="str">
        <f>B68&amp;VLOOKUP(D68, Lookups!$E$2:$F$8,2,FALSE)&amp;C68</f>
        <v>RectumGP referral1</v>
      </c>
      <c r="B68" t="s">
        <v>18</v>
      </c>
      <c r="C68">
        <v>1</v>
      </c>
      <c r="D68" t="s">
        <v>2</v>
      </c>
      <c r="E68" s="1">
        <v>0.34332988624612204</v>
      </c>
      <c r="F68" s="1">
        <v>4.4467425025853151E-2</v>
      </c>
      <c r="G68" s="1">
        <v>0.10754912099276112</v>
      </c>
      <c r="H68" s="1">
        <v>7.3422957600827302E-2</v>
      </c>
      <c r="I68" s="1">
        <v>8.376421923474664E-2</v>
      </c>
      <c r="J68" s="1">
        <v>6.8252326783867626E-2</v>
      </c>
      <c r="K68" s="1">
        <v>0.18821096173733196</v>
      </c>
      <c r="L68" s="1">
        <v>9.1003102378490172E-2</v>
      </c>
      <c r="M68" s="1">
        <v>1</v>
      </c>
      <c r="N68" s="2">
        <v>967</v>
      </c>
      <c r="P68" s="1">
        <v>0.314</v>
      </c>
      <c r="Q68" s="1">
        <v>0.374</v>
      </c>
      <c r="R68" s="1">
        <v>3.3000000000000002E-2</v>
      </c>
      <c r="S68" s="1">
        <v>5.8999999999999997E-2</v>
      </c>
      <c r="T68" s="1">
        <v>0.09</v>
      </c>
      <c r="U68" s="1">
        <v>0.129</v>
      </c>
      <c r="V68" s="1">
        <v>5.8999999999999997E-2</v>
      </c>
      <c r="W68" s="1">
        <v>9.1999999999999998E-2</v>
      </c>
      <c r="X68" s="1">
        <v>6.8000000000000005E-2</v>
      </c>
      <c r="Y68" s="1">
        <v>0.10299999999999999</v>
      </c>
      <c r="Z68" s="1">
        <v>5.3999999999999999E-2</v>
      </c>
      <c r="AA68" s="1">
        <v>8.5999999999999993E-2</v>
      </c>
      <c r="AB68" s="1">
        <v>0.16500000000000001</v>
      </c>
      <c r="AC68" s="1">
        <v>0.214</v>
      </c>
      <c r="AD68" s="1">
        <v>7.3999999999999996E-2</v>
      </c>
      <c r="AE68" s="1">
        <v>0.111</v>
      </c>
    </row>
    <row r="69" spans="1:31" x14ac:dyDescent="0.25">
      <c r="A69" t="str">
        <f>B69&amp;VLOOKUP(D69, Lookups!$E$2:$F$8,2,FALSE)&amp;C69</f>
        <v>RectumIP &amp; OP1</v>
      </c>
      <c r="B69" t="s">
        <v>18</v>
      </c>
      <c r="C69">
        <v>1</v>
      </c>
      <c r="D69" t="s">
        <v>32</v>
      </c>
      <c r="E69" s="1">
        <v>0.3644859813084112</v>
      </c>
      <c r="F69" s="1">
        <v>4.6728971962616821E-2</v>
      </c>
      <c r="G69" s="1">
        <v>0.10280373831775701</v>
      </c>
      <c r="H69" s="1">
        <v>6.8535825545171333E-2</v>
      </c>
      <c r="I69" s="1">
        <v>4.0498442367601244E-2</v>
      </c>
      <c r="J69" s="1">
        <v>8.7227414330218064E-2</v>
      </c>
      <c r="K69" s="1">
        <v>0.19003115264797507</v>
      </c>
      <c r="L69" s="1">
        <v>9.9688473520249218E-2</v>
      </c>
      <c r="M69" s="1">
        <v>1</v>
      </c>
      <c r="N69" s="2">
        <v>321</v>
      </c>
      <c r="P69" s="1">
        <v>0.314</v>
      </c>
      <c r="Q69" s="1">
        <v>0.41799999999999998</v>
      </c>
      <c r="R69" s="1">
        <v>2.9000000000000001E-2</v>
      </c>
      <c r="S69" s="1">
        <v>7.5999999999999998E-2</v>
      </c>
      <c r="T69" s="1">
        <v>7.3999999999999996E-2</v>
      </c>
      <c r="U69" s="1">
        <v>0.14099999999999999</v>
      </c>
      <c r="V69" s="1">
        <v>4.5999999999999999E-2</v>
      </c>
      <c r="W69" s="1">
        <v>0.10199999999999999</v>
      </c>
      <c r="X69" s="1">
        <v>2.4E-2</v>
      </c>
      <c r="Y69" s="1">
        <v>6.8000000000000005E-2</v>
      </c>
      <c r="Z69" s="1">
        <v>6.0999999999999999E-2</v>
      </c>
      <c r="AA69" s="1">
        <v>0.123</v>
      </c>
      <c r="AB69" s="1">
        <v>0.151</v>
      </c>
      <c r="AC69" s="1">
        <v>0.23699999999999999</v>
      </c>
      <c r="AD69" s="1">
        <v>7.1999999999999995E-2</v>
      </c>
      <c r="AE69" s="1">
        <v>0.13700000000000001</v>
      </c>
    </row>
    <row r="70" spans="1:31" x14ac:dyDescent="0.25">
      <c r="A70" t="str">
        <f>B70&amp;VLOOKUP(D70, Lookups!$E$2:$F$8,2,FALSE)&amp;C70</f>
        <v>RectumEmergency presentation1</v>
      </c>
      <c r="B70" t="s">
        <v>18</v>
      </c>
      <c r="C70">
        <v>1</v>
      </c>
      <c r="D70" t="s">
        <v>33</v>
      </c>
      <c r="E70" s="1">
        <v>0.14978902953586498</v>
      </c>
      <c r="F70" s="1">
        <v>3.1645569620253167E-2</v>
      </c>
      <c r="G70" s="1">
        <v>0.11814345991561181</v>
      </c>
      <c r="H70" s="1">
        <v>4.852320675105485E-2</v>
      </c>
      <c r="I70" s="1">
        <v>3.7974683544303799E-2</v>
      </c>
      <c r="J70" s="1">
        <v>5.4852320675105488E-2</v>
      </c>
      <c r="K70" s="1">
        <v>0.49789029535864981</v>
      </c>
      <c r="L70" s="1">
        <v>6.118143459915612E-2</v>
      </c>
      <c r="M70" s="1">
        <v>1</v>
      </c>
      <c r="N70" s="2">
        <v>474</v>
      </c>
      <c r="P70" s="1">
        <v>0.12</v>
      </c>
      <c r="Q70" s="1">
        <v>0.185</v>
      </c>
      <c r="R70" s="1">
        <v>1.9E-2</v>
      </c>
      <c r="S70" s="1">
        <v>5.1999999999999998E-2</v>
      </c>
      <c r="T70" s="1">
        <v>9.1999999999999998E-2</v>
      </c>
      <c r="U70" s="1">
        <v>0.15</v>
      </c>
      <c r="V70" s="1">
        <v>3.3000000000000002E-2</v>
      </c>
      <c r="W70" s="1">
        <v>7.1999999999999995E-2</v>
      </c>
      <c r="X70" s="1">
        <v>2.4E-2</v>
      </c>
      <c r="Y70" s="1">
        <v>5.8999999999999997E-2</v>
      </c>
      <c r="Z70" s="1">
        <v>3.7999999999999999E-2</v>
      </c>
      <c r="AA70" s="1">
        <v>7.9000000000000001E-2</v>
      </c>
      <c r="AB70" s="1">
        <v>0.45300000000000001</v>
      </c>
      <c r="AC70" s="1">
        <v>0.54300000000000004</v>
      </c>
      <c r="AD70" s="1">
        <v>4.2999999999999997E-2</v>
      </c>
      <c r="AE70" s="1">
        <v>8.5999999999999993E-2</v>
      </c>
    </row>
    <row r="71" spans="1:31" x14ac:dyDescent="0.25">
      <c r="A71" t="str">
        <f>B71&amp;VLOOKUP(D71, Lookups!$E$2:$F$8,2,FALSE)&amp;C71</f>
        <v>RectumUnknown1</v>
      </c>
      <c r="B71" t="s">
        <v>18</v>
      </c>
      <c r="C71">
        <v>1</v>
      </c>
      <c r="D71" t="s">
        <v>4</v>
      </c>
      <c r="E71" s="1">
        <v>0.35897435897435898</v>
      </c>
      <c r="F71" s="1">
        <v>5.128205128205128E-2</v>
      </c>
      <c r="G71" s="1">
        <v>0.12820512820512819</v>
      </c>
      <c r="H71" s="1">
        <v>2.564102564102564E-2</v>
      </c>
      <c r="I71" s="1">
        <v>0</v>
      </c>
      <c r="J71" s="1">
        <v>7.6923076923076927E-2</v>
      </c>
      <c r="K71" s="1">
        <v>0.28205128205128205</v>
      </c>
      <c r="L71" s="1">
        <v>7.6923076923076927E-2</v>
      </c>
      <c r="M71" s="1">
        <v>1</v>
      </c>
      <c r="N71" s="2">
        <v>39</v>
      </c>
      <c r="P71" s="1">
        <v>0.22700000000000001</v>
      </c>
      <c r="Q71" s="1">
        <v>0.51600000000000001</v>
      </c>
      <c r="R71" s="1">
        <v>1.4E-2</v>
      </c>
      <c r="S71" s="1">
        <v>0.16900000000000001</v>
      </c>
      <c r="T71" s="1">
        <v>5.6000000000000001E-2</v>
      </c>
      <c r="U71" s="1">
        <v>0.26700000000000002</v>
      </c>
      <c r="V71" s="1">
        <v>5.0000000000000001E-3</v>
      </c>
      <c r="W71" s="1">
        <v>0.13200000000000001</v>
      </c>
      <c r="X71" s="1">
        <v>0</v>
      </c>
      <c r="Y71" s="1">
        <v>0.09</v>
      </c>
      <c r="Z71" s="1">
        <v>2.7E-2</v>
      </c>
      <c r="AA71" s="1">
        <v>0.20300000000000001</v>
      </c>
      <c r="AB71" s="1">
        <v>0.16500000000000001</v>
      </c>
      <c r="AC71" s="1">
        <v>0.438</v>
      </c>
      <c r="AD71" s="1">
        <v>2.7E-2</v>
      </c>
      <c r="AE71" s="1">
        <v>0.20300000000000001</v>
      </c>
    </row>
    <row r="72" spans="1:31" x14ac:dyDescent="0.25">
      <c r="A72" t="str">
        <f>B72&amp;VLOOKUP(D72, Lookups!$E$2:$F$8,2,FALSE)&amp;C72</f>
        <v>RectumAll Routes1</v>
      </c>
      <c r="B72" t="s">
        <v>18</v>
      </c>
      <c r="C72">
        <v>1</v>
      </c>
      <c r="D72" t="s">
        <v>34</v>
      </c>
      <c r="E72" s="1">
        <v>0.31653634520706631</v>
      </c>
      <c r="F72" s="1">
        <v>4.1992470315667538E-2</v>
      </c>
      <c r="G72" s="1">
        <v>0.10367796119316536</v>
      </c>
      <c r="H72" s="1">
        <v>8.0799304952215462E-2</v>
      </c>
      <c r="I72" s="1">
        <v>7.2690414132638284E-2</v>
      </c>
      <c r="J72" s="1">
        <v>7.7613669273095862E-2</v>
      </c>
      <c r="K72" s="1">
        <v>0.18997972777295105</v>
      </c>
      <c r="L72" s="1">
        <v>0.11671010715320011</v>
      </c>
      <c r="M72" s="1">
        <v>1</v>
      </c>
      <c r="N72" s="2">
        <v>3453</v>
      </c>
      <c r="P72" s="1">
        <v>0.30099999999999999</v>
      </c>
      <c r="Q72" s="1">
        <v>0.33200000000000002</v>
      </c>
      <c r="R72" s="1">
        <v>3.5999999999999997E-2</v>
      </c>
      <c r="S72" s="1">
        <v>4.9000000000000002E-2</v>
      </c>
      <c r="T72" s="1">
        <v>9.4E-2</v>
      </c>
      <c r="U72" s="1">
        <v>0.114</v>
      </c>
      <c r="V72" s="1">
        <v>7.1999999999999995E-2</v>
      </c>
      <c r="W72" s="1">
        <v>0.09</v>
      </c>
      <c r="X72" s="1">
        <v>6.4000000000000001E-2</v>
      </c>
      <c r="Y72" s="1">
        <v>8.2000000000000003E-2</v>
      </c>
      <c r="Z72" s="1">
        <v>6.9000000000000006E-2</v>
      </c>
      <c r="AA72" s="1">
        <v>8.6999999999999994E-2</v>
      </c>
      <c r="AB72" s="1">
        <v>0.17699999999999999</v>
      </c>
      <c r="AC72" s="1">
        <v>0.20300000000000001</v>
      </c>
      <c r="AD72" s="1">
        <v>0.106</v>
      </c>
      <c r="AE72" s="1">
        <v>0.128</v>
      </c>
    </row>
    <row r="73" spans="1:31" x14ac:dyDescent="0.25">
      <c r="A73" t="str">
        <f>B73&amp;VLOOKUP(D73, Lookups!$E$2:$F$8,2,FALSE)&amp;C73</f>
        <v>RectumScreen detected2</v>
      </c>
      <c r="B73" t="s">
        <v>18</v>
      </c>
      <c r="C73">
        <v>2</v>
      </c>
      <c r="D73" t="s">
        <v>30</v>
      </c>
      <c r="E73" s="1">
        <v>0.46285714285714286</v>
      </c>
      <c r="F73" s="1">
        <v>1.1428571428571429E-2</v>
      </c>
      <c r="G73" s="1">
        <v>2.8571428571428571E-2</v>
      </c>
      <c r="H73" s="1">
        <v>0.14857142857142858</v>
      </c>
      <c r="I73" s="1">
        <v>7.4285714285714288E-2</v>
      </c>
      <c r="J73" s="1">
        <v>0.08</v>
      </c>
      <c r="K73" s="1">
        <v>6.2857142857142861E-2</v>
      </c>
      <c r="L73" s="1">
        <v>0.13142857142857142</v>
      </c>
      <c r="M73" s="1">
        <v>1</v>
      </c>
      <c r="N73" s="2">
        <v>175</v>
      </c>
      <c r="P73" s="1">
        <v>0.39100000000000001</v>
      </c>
      <c r="Q73" s="1">
        <v>0.53700000000000003</v>
      </c>
      <c r="R73" s="1">
        <v>3.0000000000000001E-3</v>
      </c>
      <c r="S73" s="1">
        <v>4.1000000000000002E-2</v>
      </c>
      <c r="T73" s="1">
        <v>1.2E-2</v>
      </c>
      <c r="U73" s="1">
        <v>6.5000000000000002E-2</v>
      </c>
      <c r="V73" s="1">
        <v>0.10299999999999999</v>
      </c>
      <c r="W73" s="1">
        <v>0.20899999999999999</v>
      </c>
      <c r="X73" s="1">
        <v>4.3999999999999997E-2</v>
      </c>
      <c r="Y73" s="1">
        <v>0.123</v>
      </c>
      <c r="Z73" s="1">
        <v>4.8000000000000001E-2</v>
      </c>
      <c r="AA73" s="1">
        <v>0.13</v>
      </c>
      <c r="AB73" s="1">
        <v>3.5000000000000003E-2</v>
      </c>
      <c r="AC73" s="1">
        <v>0.109</v>
      </c>
      <c r="AD73" s="1">
        <v>8.8999999999999996E-2</v>
      </c>
      <c r="AE73" s="1">
        <v>0.189</v>
      </c>
    </row>
    <row r="74" spans="1:31" x14ac:dyDescent="0.25">
      <c r="A74" t="str">
        <f>B74&amp;VLOOKUP(D74, Lookups!$E$2:$F$8,2,FALSE)&amp;C74</f>
        <v>RectumTwo Week Wait2</v>
      </c>
      <c r="B74" t="s">
        <v>18</v>
      </c>
      <c r="C74">
        <v>2</v>
      </c>
      <c r="D74" t="s">
        <v>31</v>
      </c>
      <c r="E74" s="1">
        <v>0.30494505494505497</v>
      </c>
      <c r="F74" s="1">
        <v>5.4945054945054944E-2</v>
      </c>
      <c r="G74" s="1">
        <v>0.11950549450549451</v>
      </c>
      <c r="H74" s="1">
        <v>6.4560439560439567E-2</v>
      </c>
      <c r="I74" s="1">
        <v>9.4780219780219777E-2</v>
      </c>
      <c r="J74" s="1">
        <v>9.3406593406593408E-2</v>
      </c>
      <c r="K74" s="1">
        <v>0.13186813186813187</v>
      </c>
      <c r="L74" s="1">
        <v>0.13598901098901098</v>
      </c>
      <c r="M74" s="1">
        <v>1</v>
      </c>
      <c r="N74" s="2">
        <v>728</v>
      </c>
      <c r="P74" s="1">
        <v>0.27300000000000002</v>
      </c>
      <c r="Q74" s="1">
        <v>0.33900000000000002</v>
      </c>
      <c r="R74" s="1">
        <v>4.1000000000000002E-2</v>
      </c>
      <c r="S74" s="1">
        <v>7.3999999999999996E-2</v>
      </c>
      <c r="T74" s="1">
        <v>9.8000000000000004E-2</v>
      </c>
      <c r="U74" s="1">
        <v>0.14499999999999999</v>
      </c>
      <c r="V74" s="1">
        <v>4.9000000000000002E-2</v>
      </c>
      <c r="W74" s="1">
        <v>8.5000000000000006E-2</v>
      </c>
      <c r="X74" s="1">
        <v>7.5999999999999998E-2</v>
      </c>
      <c r="Y74" s="1">
        <v>0.11799999999999999</v>
      </c>
      <c r="Z74" s="1">
        <v>7.3999999999999996E-2</v>
      </c>
      <c r="AA74" s="1">
        <v>0.11700000000000001</v>
      </c>
      <c r="AB74" s="1">
        <v>0.109</v>
      </c>
      <c r="AC74" s="1">
        <v>0.158</v>
      </c>
      <c r="AD74" s="1">
        <v>0.113</v>
      </c>
      <c r="AE74" s="1">
        <v>0.16300000000000001</v>
      </c>
    </row>
    <row r="75" spans="1:31" x14ac:dyDescent="0.25">
      <c r="A75" t="str">
        <f>B75&amp;VLOOKUP(D75, Lookups!$E$2:$F$8,2,FALSE)&amp;C75</f>
        <v>RectumGP referral2</v>
      </c>
      <c r="B75" t="s">
        <v>18</v>
      </c>
      <c r="C75">
        <v>2</v>
      </c>
      <c r="D75" t="s">
        <v>2</v>
      </c>
      <c r="E75" s="1">
        <v>0.34503816793893127</v>
      </c>
      <c r="F75" s="1">
        <v>4.8854961832061068E-2</v>
      </c>
      <c r="G75" s="1">
        <v>0.10687022900763359</v>
      </c>
      <c r="H75" s="1">
        <v>6.5648854961832065E-2</v>
      </c>
      <c r="I75" s="1">
        <v>7.1755725190839698E-2</v>
      </c>
      <c r="J75" s="1">
        <v>5.9541984732824425E-2</v>
      </c>
      <c r="K75" s="1">
        <v>0.2198473282442748</v>
      </c>
      <c r="L75" s="1">
        <v>8.2442748091603055E-2</v>
      </c>
      <c r="M75" s="1">
        <v>0.99999999999999989</v>
      </c>
      <c r="N75" s="2">
        <v>655</v>
      </c>
      <c r="P75" s="1">
        <v>0.31</v>
      </c>
      <c r="Q75" s="1">
        <v>0.38200000000000001</v>
      </c>
      <c r="R75" s="1">
        <v>3.5000000000000003E-2</v>
      </c>
      <c r="S75" s="1">
        <v>6.8000000000000005E-2</v>
      </c>
      <c r="T75" s="1">
        <v>8.5000000000000006E-2</v>
      </c>
      <c r="U75" s="1">
        <v>0.13300000000000001</v>
      </c>
      <c r="V75" s="1">
        <v>4.9000000000000002E-2</v>
      </c>
      <c r="W75" s="1">
        <v>8.6999999999999994E-2</v>
      </c>
      <c r="X75" s="1">
        <v>5.3999999999999999E-2</v>
      </c>
      <c r="Y75" s="1">
        <v>9.4E-2</v>
      </c>
      <c r="Z75" s="1">
        <v>4.3999999999999997E-2</v>
      </c>
      <c r="AA75" s="1">
        <v>0.08</v>
      </c>
      <c r="AB75" s="1">
        <v>0.19</v>
      </c>
      <c r="AC75" s="1">
        <v>0.253</v>
      </c>
      <c r="AD75" s="1">
        <v>6.4000000000000001E-2</v>
      </c>
      <c r="AE75" s="1">
        <v>0.106</v>
      </c>
    </row>
    <row r="76" spans="1:31" x14ac:dyDescent="0.25">
      <c r="A76" t="str">
        <f>B76&amp;VLOOKUP(D76, Lookups!$E$2:$F$8,2,FALSE)&amp;C76</f>
        <v>RectumIP &amp; OP2</v>
      </c>
      <c r="B76" t="s">
        <v>18</v>
      </c>
      <c r="C76">
        <v>2</v>
      </c>
      <c r="D76" t="s">
        <v>32</v>
      </c>
      <c r="E76" s="1">
        <v>0.30501930501930502</v>
      </c>
      <c r="F76" s="1">
        <v>5.019305019305019E-2</v>
      </c>
      <c r="G76" s="1">
        <v>0.13127413127413126</v>
      </c>
      <c r="H76" s="1">
        <v>8.4942084942084939E-2</v>
      </c>
      <c r="I76" s="1">
        <v>5.7915057915057917E-2</v>
      </c>
      <c r="J76" s="1">
        <v>5.7915057915057917E-2</v>
      </c>
      <c r="K76" s="1">
        <v>0.22779922779922779</v>
      </c>
      <c r="L76" s="1">
        <v>8.4942084942084939E-2</v>
      </c>
      <c r="M76" s="1">
        <v>1</v>
      </c>
      <c r="N76" s="2">
        <v>259</v>
      </c>
      <c r="P76" s="1">
        <v>0.252</v>
      </c>
      <c r="Q76" s="1">
        <v>0.36399999999999999</v>
      </c>
      <c r="R76" s="1">
        <v>0.03</v>
      </c>
      <c r="S76" s="1">
        <v>8.4000000000000005E-2</v>
      </c>
      <c r="T76" s="1">
        <v>9.5000000000000001E-2</v>
      </c>
      <c r="U76" s="1">
        <v>0.17799999999999999</v>
      </c>
      <c r="V76" s="1">
        <v>5.7000000000000002E-2</v>
      </c>
      <c r="W76" s="1">
        <v>0.125</v>
      </c>
      <c r="X76" s="1">
        <v>3.5000000000000003E-2</v>
      </c>
      <c r="Y76" s="1">
        <v>9.2999999999999999E-2</v>
      </c>
      <c r="Z76" s="1">
        <v>3.5000000000000003E-2</v>
      </c>
      <c r="AA76" s="1">
        <v>9.2999999999999999E-2</v>
      </c>
      <c r="AB76" s="1">
        <v>0.18099999999999999</v>
      </c>
      <c r="AC76" s="1">
        <v>0.28299999999999997</v>
      </c>
      <c r="AD76" s="1">
        <v>5.7000000000000002E-2</v>
      </c>
      <c r="AE76" s="1">
        <v>0.125</v>
      </c>
    </row>
    <row r="77" spans="1:31" x14ac:dyDescent="0.25">
      <c r="A77" t="str">
        <f>B77&amp;VLOOKUP(D77, Lookups!$E$2:$F$8,2,FALSE)&amp;C77</f>
        <v>RectumEmergency presentation2</v>
      </c>
      <c r="B77" t="s">
        <v>18</v>
      </c>
      <c r="C77">
        <v>2</v>
      </c>
      <c r="D77" t="s">
        <v>33</v>
      </c>
      <c r="E77" s="1">
        <v>0.1358695652173913</v>
      </c>
      <c r="F77" s="1">
        <v>4.3478260869565216E-2</v>
      </c>
      <c r="G77" s="1">
        <v>0.11141304347826086</v>
      </c>
      <c r="H77" s="1">
        <v>2.717391304347826E-2</v>
      </c>
      <c r="I77" s="1">
        <v>3.2608695652173912E-2</v>
      </c>
      <c r="J77" s="1">
        <v>3.5326086956521736E-2</v>
      </c>
      <c r="K77" s="1">
        <v>0.56793478260869568</v>
      </c>
      <c r="L77" s="1">
        <v>4.619565217391304E-2</v>
      </c>
      <c r="M77" s="1">
        <v>1</v>
      </c>
      <c r="N77" s="2">
        <v>368</v>
      </c>
      <c r="P77" s="1">
        <v>0.105</v>
      </c>
      <c r="Q77" s="1">
        <v>0.17499999999999999</v>
      </c>
      <c r="R77" s="1">
        <v>2.7E-2</v>
      </c>
      <c r="S77" s="1">
        <v>6.9000000000000006E-2</v>
      </c>
      <c r="T77" s="1">
        <v>8.3000000000000004E-2</v>
      </c>
      <c r="U77" s="1">
        <v>0.14799999999999999</v>
      </c>
      <c r="V77" s="1">
        <v>1.4999999999999999E-2</v>
      </c>
      <c r="W77" s="1">
        <v>4.9000000000000002E-2</v>
      </c>
      <c r="X77" s="1">
        <v>1.9E-2</v>
      </c>
      <c r="Y77" s="1">
        <v>5.6000000000000001E-2</v>
      </c>
      <c r="Z77" s="1">
        <v>2.1000000000000001E-2</v>
      </c>
      <c r="AA77" s="1">
        <v>5.8999999999999997E-2</v>
      </c>
      <c r="AB77" s="1">
        <v>0.51700000000000002</v>
      </c>
      <c r="AC77" s="1">
        <v>0.61799999999999999</v>
      </c>
      <c r="AD77" s="1">
        <v>2.9000000000000001E-2</v>
      </c>
      <c r="AE77" s="1">
        <v>7.2999999999999995E-2</v>
      </c>
    </row>
    <row r="78" spans="1:31" x14ac:dyDescent="0.25">
      <c r="A78" t="str">
        <f>B78&amp;VLOOKUP(D78, Lookups!$E$2:$F$8,2,FALSE)&amp;C78</f>
        <v>RectumUnknown2</v>
      </c>
      <c r="B78" t="s">
        <v>18</v>
      </c>
      <c r="C78">
        <v>2</v>
      </c>
      <c r="D78" t="s">
        <v>4</v>
      </c>
      <c r="E78" s="1">
        <v>0.17241379310344829</v>
      </c>
      <c r="F78" s="1">
        <v>3.4482758620689655E-2</v>
      </c>
      <c r="G78" s="1">
        <v>3.4482758620689655E-2</v>
      </c>
      <c r="H78" s="1">
        <v>3.4482758620689655E-2</v>
      </c>
      <c r="I78" s="1">
        <v>0</v>
      </c>
      <c r="J78" s="1">
        <v>3.4482758620689655E-2</v>
      </c>
      <c r="K78" s="1">
        <v>0.65517241379310343</v>
      </c>
      <c r="L78" s="1">
        <v>3.4482758620689655E-2</v>
      </c>
      <c r="M78" s="1">
        <v>1</v>
      </c>
      <c r="N78" s="2">
        <v>29</v>
      </c>
      <c r="P78" s="1">
        <v>7.5999999999999998E-2</v>
      </c>
      <c r="Q78" s="1">
        <v>0.34499999999999997</v>
      </c>
      <c r="R78" s="1">
        <v>6.0000000000000001E-3</v>
      </c>
      <c r="S78" s="1">
        <v>0.17199999999999999</v>
      </c>
      <c r="T78" s="1">
        <v>6.0000000000000001E-3</v>
      </c>
      <c r="U78" s="1">
        <v>0.17199999999999999</v>
      </c>
      <c r="V78" s="1">
        <v>6.0000000000000001E-3</v>
      </c>
      <c r="W78" s="1">
        <v>0.17199999999999999</v>
      </c>
      <c r="X78" s="1">
        <v>0</v>
      </c>
      <c r="Y78" s="1">
        <v>0.11700000000000001</v>
      </c>
      <c r="Z78" s="1">
        <v>6.0000000000000001E-3</v>
      </c>
      <c r="AA78" s="1">
        <v>0.17199999999999999</v>
      </c>
      <c r="AB78" s="1">
        <v>0.47299999999999998</v>
      </c>
      <c r="AC78" s="1">
        <v>0.80100000000000005</v>
      </c>
      <c r="AD78" s="1">
        <v>6.0000000000000001E-3</v>
      </c>
      <c r="AE78" s="1">
        <v>0.17199999999999999</v>
      </c>
    </row>
    <row r="79" spans="1:31" x14ac:dyDescent="0.25">
      <c r="A79" t="str">
        <f>B79&amp;VLOOKUP(D79, Lookups!$E$2:$F$8,2,FALSE)&amp;C79</f>
        <v>RectumAll Routes2</v>
      </c>
      <c r="B79" t="s">
        <v>18</v>
      </c>
      <c r="C79">
        <v>2</v>
      </c>
      <c r="D79" t="s">
        <v>34</v>
      </c>
      <c r="E79" s="1">
        <v>0.29945799457994582</v>
      </c>
      <c r="F79" s="1">
        <v>4.6973803071364048E-2</v>
      </c>
      <c r="G79" s="1">
        <v>0.10749774164408311</v>
      </c>
      <c r="H79" s="1">
        <v>6.7299006323396568E-2</v>
      </c>
      <c r="I79" s="1">
        <v>7.0460704607046065E-2</v>
      </c>
      <c r="J79" s="1">
        <v>6.7750677506775062E-2</v>
      </c>
      <c r="K79" s="1">
        <v>0.24299909665763325</v>
      </c>
      <c r="L79" s="1">
        <v>9.7560975609756101E-2</v>
      </c>
      <c r="M79" s="1">
        <v>0.99999999999999989</v>
      </c>
      <c r="N79" s="2">
        <v>2214</v>
      </c>
      <c r="P79" s="1">
        <v>0.28100000000000003</v>
      </c>
      <c r="Q79" s="1">
        <v>0.31900000000000001</v>
      </c>
      <c r="R79" s="1">
        <v>3.9E-2</v>
      </c>
      <c r="S79" s="1">
        <v>5.7000000000000002E-2</v>
      </c>
      <c r="T79" s="1">
        <v>9.5000000000000001E-2</v>
      </c>
      <c r="U79" s="1">
        <v>0.121</v>
      </c>
      <c r="V79" s="1">
        <v>5.8000000000000003E-2</v>
      </c>
      <c r="W79" s="1">
        <v>7.9000000000000001E-2</v>
      </c>
      <c r="X79" s="1">
        <v>6.0999999999999999E-2</v>
      </c>
      <c r="Y79" s="1">
        <v>8.2000000000000003E-2</v>
      </c>
      <c r="Z79" s="1">
        <v>5.8000000000000003E-2</v>
      </c>
      <c r="AA79" s="1">
        <v>7.9000000000000001E-2</v>
      </c>
      <c r="AB79" s="1">
        <v>0.22600000000000001</v>
      </c>
      <c r="AC79" s="1">
        <v>0.26100000000000001</v>
      </c>
      <c r="AD79" s="1">
        <v>8.5999999999999993E-2</v>
      </c>
      <c r="AE79" s="1">
        <v>0.111</v>
      </c>
    </row>
    <row r="80" spans="1:31" x14ac:dyDescent="0.25">
      <c r="A80" t="str">
        <f>B80&amp;VLOOKUP(D80, Lookups!$E$2:$F$8,2,FALSE)&amp;C80</f>
        <v>RectumScreen detected3+</v>
      </c>
      <c r="B80" t="s">
        <v>18</v>
      </c>
      <c r="C80" t="s">
        <v>40</v>
      </c>
      <c r="D80" t="s">
        <v>30</v>
      </c>
      <c r="E80" s="1">
        <v>0.5</v>
      </c>
      <c r="F80" s="1">
        <v>1.9607843137254902E-2</v>
      </c>
      <c r="G80" s="1">
        <v>9.8039215686274508E-2</v>
      </c>
      <c r="H80" s="1">
        <v>9.8039215686274508E-2</v>
      </c>
      <c r="I80" s="1">
        <v>7.8431372549019607E-2</v>
      </c>
      <c r="J80" s="1">
        <v>3.9215686274509803E-2</v>
      </c>
      <c r="K80" s="1">
        <v>6.8627450980392163E-2</v>
      </c>
      <c r="L80" s="1">
        <v>9.8039215686274508E-2</v>
      </c>
      <c r="M80" s="1">
        <v>1</v>
      </c>
      <c r="N80" s="2">
        <v>102</v>
      </c>
      <c r="P80" s="1">
        <v>0.40500000000000003</v>
      </c>
      <c r="Q80" s="1">
        <v>0.59499999999999997</v>
      </c>
      <c r="R80" s="1">
        <v>5.0000000000000001E-3</v>
      </c>
      <c r="S80" s="1">
        <v>6.9000000000000006E-2</v>
      </c>
      <c r="T80" s="1">
        <v>5.3999999999999999E-2</v>
      </c>
      <c r="U80" s="1">
        <v>0.17100000000000001</v>
      </c>
      <c r="V80" s="1">
        <v>5.3999999999999999E-2</v>
      </c>
      <c r="W80" s="1">
        <v>0.17100000000000001</v>
      </c>
      <c r="X80" s="1">
        <v>0.04</v>
      </c>
      <c r="Y80" s="1">
        <v>0.14699999999999999</v>
      </c>
      <c r="Z80" s="1">
        <v>1.4999999999999999E-2</v>
      </c>
      <c r="AA80" s="1">
        <v>9.7000000000000003E-2</v>
      </c>
      <c r="AB80" s="1">
        <v>3.4000000000000002E-2</v>
      </c>
      <c r="AC80" s="1">
        <v>0.13500000000000001</v>
      </c>
      <c r="AD80" s="1">
        <v>5.3999999999999999E-2</v>
      </c>
      <c r="AE80" s="1">
        <v>0.17100000000000001</v>
      </c>
    </row>
    <row r="81" spans="1:31" x14ac:dyDescent="0.25">
      <c r="A81" t="str">
        <f>B81&amp;VLOOKUP(D81, Lookups!$E$2:$F$8,2,FALSE)&amp;C81</f>
        <v>RectumTwo Week Wait3+</v>
      </c>
      <c r="B81" t="s">
        <v>18</v>
      </c>
      <c r="C81" t="s">
        <v>40</v>
      </c>
      <c r="D81" t="s">
        <v>31</v>
      </c>
      <c r="E81" s="1">
        <v>0.2331511839708561</v>
      </c>
      <c r="F81" s="1">
        <v>3.6429872495446269E-2</v>
      </c>
      <c r="G81" s="1">
        <v>0.2331511839708561</v>
      </c>
      <c r="H81" s="1">
        <v>4.553734061930783E-2</v>
      </c>
      <c r="I81" s="1">
        <v>9.6539162112932606E-2</v>
      </c>
      <c r="J81" s="1">
        <v>6.7395264116575593E-2</v>
      </c>
      <c r="K81" s="1">
        <v>0.20218579234972678</v>
      </c>
      <c r="L81" s="1">
        <v>8.5610200364298727E-2</v>
      </c>
      <c r="M81" s="1">
        <v>1</v>
      </c>
      <c r="N81" s="2">
        <v>549</v>
      </c>
      <c r="P81" s="1">
        <v>0.2</v>
      </c>
      <c r="Q81" s="1">
        <v>0.27</v>
      </c>
      <c r="R81" s="1">
        <v>2.4E-2</v>
      </c>
      <c r="S81" s="1">
        <v>5.6000000000000001E-2</v>
      </c>
      <c r="T81" s="1">
        <v>0.2</v>
      </c>
      <c r="U81" s="1">
        <v>0.27</v>
      </c>
      <c r="V81" s="1">
        <v>3.1E-2</v>
      </c>
      <c r="W81" s="1">
        <v>6.6000000000000003E-2</v>
      </c>
      <c r="X81" s="1">
        <v>7.4999999999999997E-2</v>
      </c>
      <c r="Y81" s="1">
        <v>0.124</v>
      </c>
      <c r="Z81" s="1">
        <v>4.9000000000000002E-2</v>
      </c>
      <c r="AA81" s="1">
        <v>9.1999999999999998E-2</v>
      </c>
      <c r="AB81" s="1">
        <v>0.17100000000000001</v>
      </c>
      <c r="AC81" s="1">
        <v>0.23799999999999999</v>
      </c>
      <c r="AD81" s="1">
        <v>6.5000000000000002E-2</v>
      </c>
      <c r="AE81" s="1">
        <v>0.112</v>
      </c>
    </row>
    <row r="82" spans="1:31" x14ac:dyDescent="0.25">
      <c r="A82" t="str">
        <f>B82&amp;VLOOKUP(D82, Lookups!$E$2:$F$8,2,FALSE)&amp;C82</f>
        <v>RectumGP referral3+</v>
      </c>
      <c r="B82" t="s">
        <v>18</v>
      </c>
      <c r="C82" t="s">
        <v>40</v>
      </c>
      <c r="D82" t="s">
        <v>2</v>
      </c>
      <c r="E82" s="1">
        <v>0.31168831168831168</v>
      </c>
      <c r="F82" s="1">
        <v>2.9684601113172542E-2</v>
      </c>
      <c r="G82" s="1">
        <v>0.14100185528756956</v>
      </c>
      <c r="H82" s="1">
        <v>2.9684601113172542E-2</v>
      </c>
      <c r="I82" s="1">
        <v>0.12615955473098331</v>
      </c>
      <c r="J82" s="1">
        <v>5.9369202226345084E-2</v>
      </c>
      <c r="K82" s="1">
        <v>0.24675324675324675</v>
      </c>
      <c r="L82" s="1">
        <v>5.5658627087198514E-2</v>
      </c>
      <c r="M82" s="1">
        <v>0.99999999999999989</v>
      </c>
      <c r="N82" s="2">
        <v>539</v>
      </c>
      <c r="P82" s="1">
        <v>0.27400000000000002</v>
      </c>
      <c r="Q82" s="1">
        <v>0.35199999999999998</v>
      </c>
      <c r="R82" s="1">
        <v>1.7999999999999999E-2</v>
      </c>
      <c r="S82" s="1">
        <v>4.8000000000000001E-2</v>
      </c>
      <c r="T82" s="1">
        <v>0.114</v>
      </c>
      <c r="U82" s="1">
        <v>0.17299999999999999</v>
      </c>
      <c r="V82" s="1">
        <v>1.7999999999999999E-2</v>
      </c>
      <c r="W82" s="1">
        <v>4.8000000000000001E-2</v>
      </c>
      <c r="X82" s="1">
        <v>0.10100000000000001</v>
      </c>
      <c r="Y82" s="1">
        <v>0.157</v>
      </c>
      <c r="Z82" s="1">
        <v>4.2000000000000003E-2</v>
      </c>
      <c r="AA82" s="1">
        <v>8.3000000000000004E-2</v>
      </c>
      <c r="AB82" s="1">
        <v>0.21199999999999999</v>
      </c>
      <c r="AC82" s="1">
        <v>0.28499999999999998</v>
      </c>
      <c r="AD82" s="1">
        <v>3.9E-2</v>
      </c>
      <c r="AE82" s="1">
        <v>7.8E-2</v>
      </c>
    </row>
    <row r="83" spans="1:31" x14ac:dyDescent="0.25">
      <c r="A83" t="str">
        <f>B83&amp;VLOOKUP(D83, Lookups!$E$2:$F$8,2,FALSE)&amp;C83</f>
        <v>RectumIP &amp; OP3+</v>
      </c>
      <c r="B83" t="s">
        <v>18</v>
      </c>
      <c r="C83" t="s">
        <v>40</v>
      </c>
      <c r="D83" t="s">
        <v>32</v>
      </c>
      <c r="E83" s="1">
        <v>0.32900432900432902</v>
      </c>
      <c r="F83" s="1">
        <v>3.0303030303030304E-2</v>
      </c>
      <c r="G83" s="1">
        <v>0.1774891774891775</v>
      </c>
      <c r="H83" s="1">
        <v>2.5974025974025976E-2</v>
      </c>
      <c r="I83" s="1">
        <v>7.3593073593073599E-2</v>
      </c>
      <c r="J83" s="1">
        <v>5.627705627705628E-2</v>
      </c>
      <c r="K83" s="1">
        <v>0.27705627705627706</v>
      </c>
      <c r="L83" s="1">
        <v>3.0303030303030304E-2</v>
      </c>
      <c r="M83" s="1">
        <v>1</v>
      </c>
      <c r="N83" s="2">
        <v>231</v>
      </c>
      <c r="P83" s="1">
        <v>0.27200000000000002</v>
      </c>
      <c r="Q83" s="1">
        <v>0.39200000000000002</v>
      </c>
      <c r="R83" s="1">
        <v>1.4999999999999999E-2</v>
      </c>
      <c r="S83" s="1">
        <v>6.0999999999999999E-2</v>
      </c>
      <c r="T83" s="1">
        <v>0.13400000000000001</v>
      </c>
      <c r="U83" s="1">
        <v>0.23200000000000001</v>
      </c>
      <c r="V83" s="1">
        <v>1.2E-2</v>
      </c>
      <c r="W83" s="1">
        <v>5.5E-2</v>
      </c>
      <c r="X83" s="1">
        <v>4.5999999999999999E-2</v>
      </c>
      <c r="Y83" s="1">
        <v>0.115</v>
      </c>
      <c r="Z83" s="1">
        <v>3.3000000000000002E-2</v>
      </c>
      <c r="AA83" s="1">
        <v>9.4E-2</v>
      </c>
      <c r="AB83" s="1">
        <v>0.223</v>
      </c>
      <c r="AC83" s="1">
        <v>0.33800000000000002</v>
      </c>
      <c r="AD83" s="1">
        <v>1.4999999999999999E-2</v>
      </c>
      <c r="AE83" s="1">
        <v>6.0999999999999999E-2</v>
      </c>
    </row>
    <row r="84" spans="1:31" x14ac:dyDescent="0.25">
      <c r="A84" t="str">
        <f>B84&amp;VLOOKUP(D84, Lookups!$E$2:$F$8,2,FALSE)&amp;C84</f>
        <v>RectumEmergency presentation3+</v>
      </c>
      <c r="B84" t="s">
        <v>18</v>
      </c>
      <c r="C84" t="s">
        <v>40</v>
      </c>
      <c r="D84" t="s">
        <v>33</v>
      </c>
      <c r="E84" s="1">
        <v>0.12980769230769232</v>
      </c>
      <c r="F84" s="1">
        <v>2.1634615384615384E-2</v>
      </c>
      <c r="G84" s="1">
        <v>0.13461538461538461</v>
      </c>
      <c r="H84" s="1">
        <v>1.9230769230769232E-2</v>
      </c>
      <c r="I84" s="1">
        <v>6.0096153846153848E-2</v>
      </c>
      <c r="J84" s="1">
        <v>2.1634615384615384E-2</v>
      </c>
      <c r="K84" s="1">
        <v>0.60336538461538458</v>
      </c>
      <c r="L84" s="1">
        <v>9.6153846153846159E-3</v>
      </c>
      <c r="M84" s="1">
        <v>0.99999999999999989</v>
      </c>
      <c r="N84" s="2">
        <v>416</v>
      </c>
      <c r="P84" s="1">
        <v>0.10100000000000001</v>
      </c>
      <c r="Q84" s="1">
        <v>0.16600000000000001</v>
      </c>
      <c r="R84" s="1">
        <v>1.0999999999999999E-2</v>
      </c>
      <c r="S84" s="1">
        <v>4.1000000000000002E-2</v>
      </c>
      <c r="T84" s="1">
        <v>0.105</v>
      </c>
      <c r="U84" s="1">
        <v>0.17100000000000001</v>
      </c>
      <c r="V84" s="1">
        <v>0.01</v>
      </c>
      <c r="W84" s="1">
        <v>3.6999999999999998E-2</v>
      </c>
      <c r="X84" s="1">
        <v>4.1000000000000002E-2</v>
      </c>
      <c r="Y84" s="1">
        <v>8.6999999999999994E-2</v>
      </c>
      <c r="Z84" s="1">
        <v>1.0999999999999999E-2</v>
      </c>
      <c r="AA84" s="1">
        <v>4.1000000000000002E-2</v>
      </c>
      <c r="AB84" s="1">
        <v>0.55600000000000005</v>
      </c>
      <c r="AC84" s="1">
        <v>0.64900000000000002</v>
      </c>
      <c r="AD84" s="1">
        <v>4.0000000000000001E-3</v>
      </c>
      <c r="AE84" s="1">
        <v>2.4E-2</v>
      </c>
    </row>
    <row r="85" spans="1:31" x14ac:dyDescent="0.25">
      <c r="A85" t="str">
        <f>B85&amp;VLOOKUP(D85, Lookups!$E$2:$F$8,2,FALSE)&amp;C85</f>
        <v>RectumUnknown3+</v>
      </c>
      <c r="B85" t="s">
        <v>18</v>
      </c>
      <c r="C85" t="s">
        <v>40</v>
      </c>
      <c r="D85" t="s">
        <v>4</v>
      </c>
      <c r="E85" s="1">
        <v>0.21428571428571427</v>
      </c>
      <c r="F85" s="1">
        <v>0</v>
      </c>
      <c r="G85" s="1">
        <v>0.21428571428571427</v>
      </c>
      <c r="H85" s="1">
        <v>0</v>
      </c>
      <c r="I85" s="1">
        <v>0</v>
      </c>
      <c r="J85" s="1">
        <v>7.1428571428571425E-2</v>
      </c>
      <c r="K85" s="1">
        <v>0.5</v>
      </c>
      <c r="L85" s="1">
        <v>0</v>
      </c>
      <c r="M85" s="1">
        <v>1</v>
      </c>
      <c r="N85" s="2">
        <v>14</v>
      </c>
      <c r="P85" s="1">
        <v>7.5999999999999998E-2</v>
      </c>
      <c r="Q85" s="1">
        <v>0.47599999999999998</v>
      </c>
      <c r="R85" s="1">
        <v>0</v>
      </c>
      <c r="S85" s="1">
        <v>0.215</v>
      </c>
      <c r="T85" s="1">
        <v>7.5999999999999998E-2</v>
      </c>
      <c r="U85" s="1">
        <v>0.47599999999999998</v>
      </c>
      <c r="V85" s="1">
        <v>0</v>
      </c>
      <c r="W85" s="1">
        <v>0.215</v>
      </c>
      <c r="X85" s="1">
        <v>0</v>
      </c>
      <c r="Y85" s="1">
        <v>0.215</v>
      </c>
      <c r="Z85" s="1">
        <v>1.2999999999999999E-2</v>
      </c>
      <c r="AA85" s="1">
        <v>0.315</v>
      </c>
      <c r="AB85" s="1">
        <v>0.26800000000000002</v>
      </c>
      <c r="AC85" s="1">
        <v>0.73199999999999998</v>
      </c>
      <c r="AD85" s="1">
        <v>0</v>
      </c>
      <c r="AE85" s="1">
        <v>0.215</v>
      </c>
    </row>
    <row r="86" spans="1:31" x14ac:dyDescent="0.25">
      <c r="A86" t="str">
        <f>B86&amp;VLOOKUP(D86, Lookups!$E$2:$F$8,2,FALSE)&amp;C86</f>
        <v>RectumAll Routes3+</v>
      </c>
      <c r="B86" t="s">
        <v>18</v>
      </c>
      <c r="C86" t="s">
        <v>40</v>
      </c>
      <c r="D86" t="s">
        <v>34</v>
      </c>
      <c r="E86" s="1">
        <v>0.2593192868719611</v>
      </c>
      <c r="F86" s="1">
        <v>2.9173419773095625E-2</v>
      </c>
      <c r="G86" s="1">
        <v>0.16963803349540788</v>
      </c>
      <c r="H86" s="1">
        <v>3.5116153430578063E-2</v>
      </c>
      <c r="I86" s="1">
        <v>9.2382495948136148E-2</v>
      </c>
      <c r="J86" s="1">
        <v>5.1863857374392218E-2</v>
      </c>
      <c r="K86" s="1">
        <v>0.30956239870340357</v>
      </c>
      <c r="L86" s="1">
        <v>5.294435440302539E-2</v>
      </c>
      <c r="M86" s="1">
        <v>1.0000000000000002</v>
      </c>
      <c r="N86" s="2">
        <v>1851</v>
      </c>
      <c r="P86" s="1">
        <v>0.24</v>
      </c>
      <c r="Q86" s="1">
        <v>0.28000000000000003</v>
      </c>
      <c r="R86" s="1">
        <v>2.1999999999999999E-2</v>
      </c>
      <c r="S86" s="1">
        <v>3.7999999999999999E-2</v>
      </c>
      <c r="T86" s="1">
        <v>0.153</v>
      </c>
      <c r="U86" s="1">
        <v>0.187</v>
      </c>
      <c r="V86" s="1">
        <v>2.8000000000000001E-2</v>
      </c>
      <c r="W86" s="1">
        <v>4.4999999999999998E-2</v>
      </c>
      <c r="X86" s="1">
        <v>0.08</v>
      </c>
      <c r="Y86" s="1">
        <v>0.106</v>
      </c>
      <c r="Z86" s="1">
        <v>4.2999999999999997E-2</v>
      </c>
      <c r="AA86" s="1">
        <v>6.3E-2</v>
      </c>
      <c r="AB86" s="1">
        <v>0.28899999999999998</v>
      </c>
      <c r="AC86" s="1">
        <v>0.33100000000000002</v>
      </c>
      <c r="AD86" s="1">
        <v>4.3999999999999997E-2</v>
      </c>
      <c r="AE86" s="1">
        <v>6.4000000000000001E-2</v>
      </c>
    </row>
    <row r="87" spans="1:31" x14ac:dyDescent="0.25">
      <c r="A87" t="str">
        <f>B87&amp;VLOOKUP(D87, Lookups!$E$2:$F$8,2,FALSE)&amp;C87</f>
        <v>NSCLCScreen detected0</v>
      </c>
      <c r="B87" t="s">
        <v>19</v>
      </c>
      <c r="C87">
        <v>0</v>
      </c>
      <c r="D87" t="s">
        <v>30</v>
      </c>
      <c r="E87" s="1" t="s">
        <v>137</v>
      </c>
      <c r="F87" s="1" t="s">
        <v>137</v>
      </c>
      <c r="G87" s="1" t="s">
        <v>137</v>
      </c>
      <c r="H87" s="1" t="s">
        <v>137</v>
      </c>
      <c r="I87" s="1" t="s">
        <v>137</v>
      </c>
      <c r="J87" s="1" t="s">
        <v>137</v>
      </c>
      <c r="K87" s="1" t="s">
        <v>137</v>
      </c>
      <c r="L87" s="1" t="s">
        <v>137</v>
      </c>
      <c r="M87" s="1">
        <v>0</v>
      </c>
      <c r="N87" s="2">
        <v>0</v>
      </c>
      <c r="P87" s="1"/>
      <c r="Q87" s="1"/>
      <c r="R87" s="1"/>
      <c r="S87" s="1"/>
      <c r="T87" s="1"/>
      <c r="U87" s="1"/>
      <c r="V87" s="1"/>
      <c r="W87" s="1"/>
      <c r="X87" s="1"/>
      <c r="Y87" s="1"/>
      <c r="Z87" s="1"/>
      <c r="AA87" s="1"/>
      <c r="AB87" s="1"/>
      <c r="AC87" s="1"/>
      <c r="AD87" s="1"/>
      <c r="AE87" s="1"/>
    </row>
    <row r="88" spans="1:31" x14ac:dyDescent="0.25">
      <c r="A88" t="str">
        <f>B88&amp;VLOOKUP(D88, Lookups!$E$2:$F$8,2,FALSE)&amp;C88</f>
        <v>NSCLCTwo Week Wait0</v>
      </c>
      <c r="B88" t="s">
        <v>19</v>
      </c>
      <c r="C88">
        <v>0</v>
      </c>
      <c r="D88" t="s">
        <v>31</v>
      </c>
      <c r="E88" s="1">
        <v>0.13891412994093594</v>
      </c>
      <c r="F88" s="1">
        <v>0.2171172194457065</v>
      </c>
      <c r="G88" s="1">
        <v>0.1599273057701045</v>
      </c>
      <c r="H88" s="1">
        <v>7.1899136756019985E-2</v>
      </c>
      <c r="I88" s="1">
        <v>7.8373466606088144E-3</v>
      </c>
      <c r="J88" s="1">
        <v>0.194854611540209</v>
      </c>
      <c r="K88" s="1">
        <v>0.20337346660608815</v>
      </c>
      <c r="L88" s="1">
        <v>6.076783280327124E-3</v>
      </c>
      <c r="M88" s="1">
        <v>1</v>
      </c>
      <c r="N88" s="2">
        <v>17608</v>
      </c>
      <c r="P88" s="1">
        <v>0.13400000000000001</v>
      </c>
      <c r="Q88" s="1">
        <v>0.14399999999999999</v>
      </c>
      <c r="R88" s="1">
        <v>0.21099999999999999</v>
      </c>
      <c r="S88" s="1">
        <v>0.223</v>
      </c>
      <c r="T88" s="1">
        <v>0.155</v>
      </c>
      <c r="U88" s="1">
        <v>0.16500000000000001</v>
      </c>
      <c r="V88" s="1">
        <v>6.8000000000000005E-2</v>
      </c>
      <c r="W88" s="1">
        <v>7.5999999999999998E-2</v>
      </c>
      <c r="X88" s="1">
        <v>7.0000000000000001E-3</v>
      </c>
      <c r="Y88" s="1">
        <v>8.9999999999999993E-3</v>
      </c>
      <c r="Z88" s="1">
        <v>0.189</v>
      </c>
      <c r="AA88" s="1">
        <v>0.20100000000000001</v>
      </c>
      <c r="AB88" s="1">
        <v>0.19700000000000001</v>
      </c>
      <c r="AC88" s="1">
        <v>0.20899999999999999</v>
      </c>
      <c r="AD88" s="1">
        <v>5.0000000000000001E-3</v>
      </c>
      <c r="AE88" s="1">
        <v>7.0000000000000001E-3</v>
      </c>
    </row>
    <row r="89" spans="1:31" x14ac:dyDescent="0.25">
      <c r="A89" t="str">
        <f>B89&amp;VLOOKUP(D89, Lookups!$E$2:$F$8,2,FALSE)&amp;C89</f>
        <v>NSCLCGP referral0</v>
      </c>
      <c r="B89" t="s">
        <v>19</v>
      </c>
      <c r="C89">
        <v>0</v>
      </c>
      <c r="D89" t="s">
        <v>2</v>
      </c>
      <c r="E89" s="1">
        <v>0.17433453828458759</v>
      </c>
      <c r="F89" s="1">
        <v>0.14566217548471902</v>
      </c>
      <c r="G89" s="1">
        <v>0.16406506736772922</v>
      </c>
      <c r="H89" s="1">
        <v>4.9622083470259613E-2</v>
      </c>
      <c r="I89" s="1">
        <v>6.8189286887939534E-3</v>
      </c>
      <c r="J89" s="1">
        <v>0.11978310877423595</v>
      </c>
      <c r="K89" s="1">
        <v>0.33404534998356883</v>
      </c>
      <c r="L89" s="1">
        <v>5.668747946105817E-3</v>
      </c>
      <c r="M89" s="1">
        <v>1</v>
      </c>
      <c r="N89" s="2">
        <v>12172</v>
      </c>
      <c r="P89" s="1">
        <v>0.16800000000000001</v>
      </c>
      <c r="Q89" s="1">
        <v>0.18099999999999999</v>
      </c>
      <c r="R89" s="1">
        <v>0.14000000000000001</v>
      </c>
      <c r="S89" s="1">
        <v>0.152</v>
      </c>
      <c r="T89" s="1">
        <v>0.158</v>
      </c>
      <c r="U89" s="1">
        <v>0.17100000000000001</v>
      </c>
      <c r="V89" s="1">
        <v>4.5999999999999999E-2</v>
      </c>
      <c r="W89" s="1">
        <v>5.3999999999999999E-2</v>
      </c>
      <c r="X89" s="1">
        <v>6.0000000000000001E-3</v>
      </c>
      <c r="Y89" s="1">
        <v>8.0000000000000002E-3</v>
      </c>
      <c r="Z89" s="1">
        <v>0.114</v>
      </c>
      <c r="AA89" s="1">
        <v>0.126</v>
      </c>
      <c r="AB89" s="1">
        <v>0.32600000000000001</v>
      </c>
      <c r="AC89" s="1">
        <v>0.34200000000000003</v>
      </c>
      <c r="AD89" s="1">
        <v>4.0000000000000001E-3</v>
      </c>
      <c r="AE89" s="1">
        <v>7.0000000000000001E-3</v>
      </c>
    </row>
    <row r="90" spans="1:31" x14ac:dyDescent="0.25">
      <c r="A90" t="str">
        <f>B90&amp;VLOOKUP(D90, Lookups!$E$2:$F$8,2,FALSE)&amp;C90</f>
        <v>NSCLCIP &amp; OP0</v>
      </c>
      <c r="B90" t="s">
        <v>19</v>
      </c>
      <c r="C90">
        <v>0</v>
      </c>
      <c r="D90" t="s">
        <v>32</v>
      </c>
      <c r="E90" s="1">
        <v>0.20471518523942012</v>
      </c>
      <c r="F90" s="1">
        <v>0.15492751500951824</v>
      </c>
      <c r="G90" s="1">
        <v>0.15507394933372382</v>
      </c>
      <c r="H90" s="1">
        <v>5.2277053741396982E-2</v>
      </c>
      <c r="I90" s="1">
        <v>8.6396251281300341E-3</v>
      </c>
      <c r="J90" s="1">
        <v>0.14804510177185531</v>
      </c>
      <c r="K90" s="1">
        <v>0.26987845951090933</v>
      </c>
      <c r="L90" s="1">
        <v>6.4431102650461267E-3</v>
      </c>
      <c r="M90" s="1">
        <v>1</v>
      </c>
      <c r="N90" s="2">
        <v>6829</v>
      </c>
      <c r="P90" s="1">
        <v>0.19500000000000001</v>
      </c>
      <c r="Q90" s="1">
        <v>0.214</v>
      </c>
      <c r="R90" s="1">
        <v>0.14699999999999999</v>
      </c>
      <c r="S90" s="1">
        <v>0.16400000000000001</v>
      </c>
      <c r="T90" s="1">
        <v>0.14699999999999999</v>
      </c>
      <c r="U90" s="1">
        <v>0.16400000000000001</v>
      </c>
      <c r="V90" s="1">
        <v>4.7E-2</v>
      </c>
      <c r="W90" s="1">
        <v>5.8000000000000003E-2</v>
      </c>
      <c r="X90" s="1">
        <v>7.0000000000000001E-3</v>
      </c>
      <c r="Y90" s="1">
        <v>1.0999999999999999E-2</v>
      </c>
      <c r="Z90" s="1">
        <v>0.14000000000000001</v>
      </c>
      <c r="AA90" s="1">
        <v>0.157</v>
      </c>
      <c r="AB90" s="1">
        <v>0.25900000000000001</v>
      </c>
      <c r="AC90" s="1">
        <v>0.28100000000000003</v>
      </c>
      <c r="AD90" s="1">
        <v>5.0000000000000001E-3</v>
      </c>
      <c r="AE90" s="1">
        <v>8.9999999999999993E-3</v>
      </c>
    </row>
    <row r="91" spans="1:31" x14ac:dyDescent="0.25">
      <c r="A91" t="str">
        <f>B91&amp;VLOOKUP(D91, Lookups!$E$2:$F$8,2,FALSE)&amp;C91</f>
        <v>NSCLCEmergency presentation0</v>
      </c>
      <c r="B91" t="s">
        <v>19</v>
      </c>
      <c r="C91">
        <v>0</v>
      </c>
      <c r="D91" t="s">
        <v>33</v>
      </c>
      <c r="E91" s="1">
        <v>2.7421269859218635E-2</v>
      </c>
      <c r="F91" s="1">
        <v>8.9444224571719341E-2</v>
      </c>
      <c r="G91" s="1">
        <v>0.15039294397014757</v>
      </c>
      <c r="H91" s="1">
        <v>9.8377339288743138E-3</v>
      </c>
      <c r="I91" s="1">
        <v>1.9788545259229943E-3</v>
      </c>
      <c r="J91" s="1">
        <v>7.0334143721377279E-2</v>
      </c>
      <c r="K91" s="1">
        <v>0.64895120710126086</v>
      </c>
      <c r="L91" s="1">
        <v>1.6396223214790524E-3</v>
      </c>
      <c r="M91" s="1">
        <v>1</v>
      </c>
      <c r="N91" s="2">
        <v>17687</v>
      </c>
      <c r="P91" s="1">
        <v>2.5000000000000001E-2</v>
      </c>
      <c r="Q91" s="1">
        <v>0.03</v>
      </c>
      <c r="R91" s="1">
        <v>8.5000000000000006E-2</v>
      </c>
      <c r="S91" s="1">
        <v>9.4E-2</v>
      </c>
      <c r="T91" s="1">
        <v>0.14499999999999999</v>
      </c>
      <c r="U91" s="1">
        <v>0.156</v>
      </c>
      <c r="V91" s="1">
        <v>8.0000000000000002E-3</v>
      </c>
      <c r="W91" s="1">
        <v>1.0999999999999999E-2</v>
      </c>
      <c r="X91" s="1">
        <v>1E-3</v>
      </c>
      <c r="Y91" s="1">
        <v>3.0000000000000001E-3</v>
      </c>
      <c r="Z91" s="1">
        <v>6.7000000000000004E-2</v>
      </c>
      <c r="AA91" s="1">
        <v>7.3999999999999996E-2</v>
      </c>
      <c r="AB91" s="1">
        <v>0.64200000000000002</v>
      </c>
      <c r="AC91" s="1">
        <v>0.65600000000000003</v>
      </c>
      <c r="AD91" s="1">
        <v>1E-3</v>
      </c>
      <c r="AE91" s="1">
        <v>2E-3</v>
      </c>
    </row>
    <row r="92" spans="1:31" x14ac:dyDescent="0.25">
      <c r="A92" t="str">
        <f>B92&amp;VLOOKUP(D92, Lookups!$E$2:$F$8,2,FALSE)&amp;C92</f>
        <v>NSCLCUnknown0</v>
      </c>
      <c r="B92" t="s">
        <v>19</v>
      </c>
      <c r="C92">
        <v>0</v>
      </c>
      <c r="D92" t="s">
        <v>4</v>
      </c>
      <c r="E92" s="1">
        <v>5.5204140310523286E-2</v>
      </c>
      <c r="F92" s="1">
        <v>9.1431857389304191E-2</v>
      </c>
      <c r="G92" s="1">
        <v>8.16561242093157E-2</v>
      </c>
      <c r="H92" s="1">
        <v>1.3225991949396205E-2</v>
      </c>
      <c r="I92" s="1">
        <v>2.8752156411730881E-3</v>
      </c>
      <c r="J92" s="1">
        <v>4.8303622771707876E-2</v>
      </c>
      <c r="K92" s="1">
        <v>0.70557791834387584</v>
      </c>
      <c r="L92" s="1">
        <v>1.7251293847038527E-3</v>
      </c>
      <c r="M92" s="1">
        <v>1</v>
      </c>
      <c r="N92" s="2">
        <v>1739</v>
      </c>
      <c r="P92" s="1">
        <v>4.4999999999999998E-2</v>
      </c>
      <c r="Q92" s="1">
        <v>6.7000000000000004E-2</v>
      </c>
      <c r="R92" s="1">
        <v>7.9000000000000001E-2</v>
      </c>
      <c r="S92" s="1">
        <v>0.106</v>
      </c>
      <c r="T92" s="1">
        <v>7.0000000000000007E-2</v>
      </c>
      <c r="U92" s="1">
        <v>9.5000000000000001E-2</v>
      </c>
      <c r="V92" s="1">
        <v>8.9999999999999993E-3</v>
      </c>
      <c r="W92" s="1">
        <v>0.02</v>
      </c>
      <c r="X92" s="1">
        <v>1E-3</v>
      </c>
      <c r="Y92" s="1">
        <v>7.0000000000000001E-3</v>
      </c>
      <c r="Z92" s="1">
        <v>3.9E-2</v>
      </c>
      <c r="AA92" s="1">
        <v>5.8999999999999997E-2</v>
      </c>
      <c r="AB92" s="1">
        <v>0.68400000000000005</v>
      </c>
      <c r="AC92" s="1">
        <v>0.72699999999999998</v>
      </c>
      <c r="AD92" s="1">
        <v>1E-3</v>
      </c>
      <c r="AE92" s="1">
        <v>5.0000000000000001E-3</v>
      </c>
    </row>
    <row r="93" spans="1:31" x14ac:dyDescent="0.25">
      <c r="A93" t="str">
        <f>B93&amp;VLOOKUP(D93, Lookups!$E$2:$F$8,2,FALSE)&amp;C93</f>
        <v>NSCLCAll Routes0</v>
      </c>
      <c r="B93" t="s">
        <v>19</v>
      </c>
      <c r="C93">
        <v>0</v>
      </c>
      <c r="D93" t="s">
        <v>34</v>
      </c>
      <c r="E93" s="1">
        <v>0.11683769072900865</v>
      </c>
      <c r="F93" s="1">
        <v>0.14981707861158206</v>
      </c>
      <c r="G93" s="1">
        <v>0.15479610957437315</v>
      </c>
      <c r="H93" s="1">
        <v>4.3258677612206656E-2</v>
      </c>
      <c r="I93" s="1">
        <v>5.7107165164629247E-3</v>
      </c>
      <c r="J93" s="1">
        <v>0.12899080931560633</v>
      </c>
      <c r="K93" s="1">
        <v>0.39609172838404566</v>
      </c>
      <c r="L93" s="1">
        <v>4.4971892567145537E-3</v>
      </c>
      <c r="M93" s="1">
        <v>1</v>
      </c>
      <c r="N93" s="2">
        <v>56035</v>
      </c>
      <c r="P93" s="1">
        <v>0.114</v>
      </c>
      <c r="Q93" s="1">
        <v>0.12</v>
      </c>
      <c r="R93" s="1">
        <v>0.14699999999999999</v>
      </c>
      <c r="S93" s="1">
        <v>0.153</v>
      </c>
      <c r="T93" s="1">
        <v>0.152</v>
      </c>
      <c r="U93" s="1">
        <v>0.158</v>
      </c>
      <c r="V93" s="1">
        <v>4.2000000000000003E-2</v>
      </c>
      <c r="W93" s="1">
        <v>4.4999999999999998E-2</v>
      </c>
      <c r="X93" s="1">
        <v>5.0000000000000001E-3</v>
      </c>
      <c r="Y93" s="1">
        <v>6.0000000000000001E-3</v>
      </c>
      <c r="Z93" s="1">
        <v>0.126</v>
      </c>
      <c r="AA93" s="1">
        <v>0.13200000000000001</v>
      </c>
      <c r="AB93" s="1">
        <v>0.39200000000000002</v>
      </c>
      <c r="AC93" s="1">
        <v>0.4</v>
      </c>
      <c r="AD93" s="1">
        <v>4.0000000000000001E-3</v>
      </c>
      <c r="AE93" s="1">
        <v>5.0000000000000001E-3</v>
      </c>
    </row>
    <row r="94" spans="1:31" x14ac:dyDescent="0.25">
      <c r="A94" t="str">
        <f>B94&amp;VLOOKUP(D94, Lookups!$E$2:$F$8,2,FALSE)&amp;C94</f>
        <v>NSCLCScreen detected1</v>
      </c>
      <c r="B94" t="s">
        <v>19</v>
      </c>
      <c r="C94">
        <v>1</v>
      </c>
      <c r="D94" t="s">
        <v>30</v>
      </c>
      <c r="E94" s="1" t="s">
        <v>137</v>
      </c>
      <c r="F94" s="1" t="s">
        <v>137</v>
      </c>
      <c r="G94" s="1" t="s">
        <v>137</v>
      </c>
      <c r="H94" s="1" t="s">
        <v>137</v>
      </c>
      <c r="I94" s="1" t="s">
        <v>137</v>
      </c>
      <c r="J94" s="1" t="s">
        <v>137</v>
      </c>
      <c r="K94" s="1" t="s">
        <v>137</v>
      </c>
      <c r="L94" s="1" t="s">
        <v>137</v>
      </c>
      <c r="M94" s="1">
        <v>0</v>
      </c>
      <c r="N94" s="2">
        <v>0</v>
      </c>
      <c r="P94" s="1"/>
      <c r="Q94" s="1"/>
      <c r="R94" s="1"/>
      <c r="S94" s="1"/>
      <c r="T94" s="1"/>
      <c r="U94" s="1"/>
      <c r="V94" s="1"/>
      <c r="W94" s="1"/>
      <c r="X94" s="1"/>
      <c r="Y94" s="1"/>
      <c r="Z94" s="1"/>
      <c r="AA94" s="1"/>
      <c r="AB94" s="1"/>
      <c r="AC94" s="1"/>
      <c r="AD94" s="1"/>
      <c r="AE94" s="1"/>
    </row>
    <row r="95" spans="1:31" x14ac:dyDescent="0.25">
      <c r="A95" t="str">
        <f>B95&amp;VLOOKUP(D95, Lookups!$E$2:$F$8,2,FALSE)&amp;C95</f>
        <v>NSCLCTwo Week Wait1</v>
      </c>
      <c r="B95" t="s">
        <v>19</v>
      </c>
      <c r="C95">
        <v>1</v>
      </c>
      <c r="D95" t="s">
        <v>31</v>
      </c>
      <c r="E95" s="1">
        <v>0.15039632874426367</v>
      </c>
      <c r="F95" s="1">
        <v>0.1654151022110972</v>
      </c>
      <c r="G95" s="1">
        <v>0.21193158114309554</v>
      </c>
      <c r="H95" s="1">
        <v>5.3191489361702128E-2</v>
      </c>
      <c r="I95" s="1">
        <v>6.2578222778473091E-3</v>
      </c>
      <c r="J95" s="1">
        <v>0.13683771380892781</v>
      </c>
      <c r="K95" s="1">
        <v>0.2709637046307885</v>
      </c>
      <c r="L95" s="1">
        <v>5.0062578222778474E-3</v>
      </c>
      <c r="M95" s="1">
        <v>1</v>
      </c>
      <c r="N95" s="2">
        <v>4794</v>
      </c>
      <c r="P95" s="1">
        <v>0.14099999999999999</v>
      </c>
      <c r="Q95" s="1">
        <v>0.161</v>
      </c>
      <c r="R95" s="1">
        <v>0.155</v>
      </c>
      <c r="S95" s="1">
        <v>0.17599999999999999</v>
      </c>
      <c r="T95" s="1">
        <v>0.20100000000000001</v>
      </c>
      <c r="U95" s="1">
        <v>0.224</v>
      </c>
      <c r="V95" s="1">
        <v>4.7E-2</v>
      </c>
      <c r="W95" s="1">
        <v>0.06</v>
      </c>
      <c r="X95" s="1">
        <v>4.0000000000000001E-3</v>
      </c>
      <c r="Y95" s="1">
        <v>8.9999999999999993E-3</v>
      </c>
      <c r="Z95" s="1">
        <v>0.127</v>
      </c>
      <c r="AA95" s="1">
        <v>0.14699999999999999</v>
      </c>
      <c r="AB95" s="1">
        <v>0.25900000000000001</v>
      </c>
      <c r="AC95" s="1">
        <v>0.28399999999999997</v>
      </c>
      <c r="AD95" s="1">
        <v>3.0000000000000001E-3</v>
      </c>
      <c r="AE95" s="1">
        <v>7.0000000000000001E-3</v>
      </c>
    </row>
    <row r="96" spans="1:31" x14ac:dyDescent="0.25">
      <c r="A96" t="str">
        <f>B96&amp;VLOOKUP(D96, Lookups!$E$2:$F$8,2,FALSE)&amp;C96</f>
        <v>NSCLCGP referral1</v>
      </c>
      <c r="B96" t="s">
        <v>19</v>
      </c>
      <c r="C96">
        <v>1</v>
      </c>
      <c r="D96" t="s">
        <v>2</v>
      </c>
      <c r="E96" s="1">
        <v>0.17517776341305752</v>
      </c>
      <c r="F96" s="1">
        <v>0.10191769015298427</v>
      </c>
      <c r="G96" s="1">
        <v>0.20361990950226244</v>
      </c>
      <c r="H96" s="1">
        <v>3.6414565826330535E-2</v>
      </c>
      <c r="I96" s="1">
        <v>6.0331825037707393E-3</v>
      </c>
      <c r="J96" s="1">
        <v>7.821590174531351E-2</v>
      </c>
      <c r="K96" s="1">
        <v>0.39517345399698339</v>
      </c>
      <c r="L96" s="1">
        <v>3.4475328592975651E-3</v>
      </c>
      <c r="M96" s="1">
        <v>1</v>
      </c>
      <c r="N96" s="2">
        <v>4641</v>
      </c>
      <c r="P96" s="1">
        <v>0.16500000000000001</v>
      </c>
      <c r="Q96" s="1">
        <v>0.186</v>
      </c>
      <c r="R96" s="1">
        <v>9.4E-2</v>
      </c>
      <c r="S96" s="1">
        <v>0.111</v>
      </c>
      <c r="T96" s="1">
        <v>0.192</v>
      </c>
      <c r="U96" s="1">
        <v>0.215</v>
      </c>
      <c r="V96" s="1">
        <v>3.1E-2</v>
      </c>
      <c r="W96" s="1">
        <v>4.2000000000000003E-2</v>
      </c>
      <c r="X96" s="1">
        <v>4.0000000000000001E-3</v>
      </c>
      <c r="Y96" s="1">
        <v>8.9999999999999993E-3</v>
      </c>
      <c r="Z96" s="1">
        <v>7.0999999999999994E-2</v>
      </c>
      <c r="AA96" s="1">
        <v>8.5999999999999993E-2</v>
      </c>
      <c r="AB96" s="1">
        <v>0.38100000000000001</v>
      </c>
      <c r="AC96" s="1">
        <v>0.40899999999999997</v>
      </c>
      <c r="AD96" s="1">
        <v>2E-3</v>
      </c>
      <c r="AE96" s="1">
        <v>6.0000000000000001E-3</v>
      </c>
    </row>
    <row r="97" spans="1:31" x14ac:dyDescent="0.25">
      <c r="A97" t="str">
        <f>B97&amp;VLOOKUP(D97, Lookups!$E$2:$F$8,2,FALSE)&amp;C97</f>
        <v>NSCLCIP &amp; OP1</v>
      </c>
      <c r="B97" t="s">
        <v>19</v>
      </c>
      <c r="C97">
        <v>1</v>
      </c>
      <c r="D97" t="s">
        <v>32</v>
      </c>
      <c r="E97" s="1">
        <v>0.23292181069958848</v>
      </c>
      <c r="F97" s="1">
        <v>9.8765432098765427E-2</v>
      </c>
      <c r="G97" s="1">
        <v>0.19341563786008231</v>
      </c>
      <c r="H97" s="1">
        <v>4.6502057613168724E-2</v>
      </c>
      <c r="I97" s="1">
        <v>7.4074074074074077E-3</v>
      </c>
      <c r="J97" s="1">
        <v>8.0658436213991769E-2</v>
      </c>
      <c r="K97" s="1">
        <v>0.33662551440329219</v>
      </c>
      <c r="L97" s="1">
        <v>3.7037037037037038E-3</v>
      </c>
      <c r="M97" s="1">
        <v>0.99999999999999989</v>
      </c>
      <c r="N97" s="2">
        <v>2430</v>
      </c>
      <c r="P97" s="1">
        <v>0.217</v>
      </c>
      <c r="Q97" s="1">
        <v>0.25</v>
      </c>
      <c r="R97" s="1">
        <v>8.7999999999999995E-2</v>
      </c>
      <c r="S97" s="1">
        <v>0.111</v>
      </c>
      <c r="T97" s="1">
        <v>0.17799999999999999</v>
      </c>
      <c r="U97" s="1">
        <v>0.21</v>
      </c>
      <c r="V97" s="1">
        <v>3.9E-2</v>
      </c>
      <c r="W97" s="1">
        <v>5.6000000000000001E-2</v>
      </c>
      <c r="X97" s="1">
        <v>5.0000000000000001E-3</v>
      </c>
      <c r="Y97" s="1">
        <v>1.2E-2</v>
      </c>
      <c r="Z97" s="1">
        <v>7.0000000000000007E-2</v>
      </c>
      <c r="AA97" s="1">
        <v>9.1999999999999998E-2</v>
      </c>
      <c r="AB97" s="1">
        <v>0.318</v>
      </c>
      <c r="AC97" s="1">
        <v>0.35599999999999998</v>
      </c>
      <c r="AD97" s="1">
        <v>2E-3</v>
      </c>
      <c r="AE97" s="1">
        <v>7.0000000000000001E-3</v>
      </c>
    </row>
    <row r="98" spans="1:31" x14ac:dyDescent="0.25">
      <c r="A98" t="str">
        <f>B98&amp;VLOOKUP(D98, Lookups!$E$2:$F$8,2,FALSE)&amp;C98</f>
        <v>NSCLCEmergency presentation1</v>
      </c>
      <c r="B98" t="s">
        <v>19</v>
      </c>
      <c r="C98">
        <v>1</v>
      </c>
      <c r="D98" t="s">
        <v>33</v>
      </c>
      <c r="E98" s="1">
        <v>3.0956572769953051E-2</v>
      </c>
      <c r="F98" s="1">
        <v>5.1056338028169015E-2</v>
      </c>
      <c r="G98" s="1">
        <v>0.14245892018779344</v>
      </c>
      <c r="H98" s="1">
        <v>6.1619718309859151E-3</v>
      </c>
      <c r="I98" s="1">
        <v>2.0539906103286387E-3</v>
      </c>
      <c r="J98" s="1">
        <v>3.5651408450704226E-2</v>
      </c>
      <c r="K98" s="1">
        <v>0.73063380281690138</v>
      </c>
      <c r="L98" s="1">
        <v>1.0269953051643193E-3</v>
      </c>
      <c r="M98" s="1">
        <v>1</v>
      </c>
      <c r="N98" s="2">
        <v>6816</v>
      </c>
      <c r="P98" s="1">
        <v>2.7E-2</v>
      </c>
      <c r="Q98" s="1">
        <v>3.5000000000000003E-2</v>
      </c>
      <c r="R98" s="1">
        <v>4.5999999999999999E-2</v>
      </c>
      <c r="S98" s="1">
        <v>5.7000000000000002E-2</v>
      </c>
      <c r="T98" s="1">
        <v>0.13400000000000001</v>
      </c>
      <c r="U98" s="1">
        <v>0.151</v>
      </c>
      <c r="V98" s="1">
        <v>5.0000000000000001E-3</v>
      </c>
      <c r="W98" s="1">
        <v>8.0000000000000002E-3</v>
      </c>
      <c r="X98" s="1">
        <v>1E-3</v>
      </c>
      <c r="Y98" s="1">
        <v>3.0000000000000001E-3</v>
      </c>
      <c r="Z98" s="1">
        <v>3.2000000000000001E-2</v>
      </c>
      <c r="AA98" s="1">
        <v>0.04</v>
      </c>
      <c r="AB98" s="1">
        <v>0.72</v>
      </c>
      <c r="AC98" s="1">
        <v>0.74099999999999999</v>
      </c>
      <c r="AD98" s="1">
        <v>0</v>
      </c>
      <c r="AE98" s="1">
        <v>2E-3</v>
      </c>
    </row>
    <row r="99" spans="1:31" x14ac:dyDescent="0.25">
      <c r="A99" t="str">
        <f>B99&amp;VLOOKUP(D99, Lookups!$E$2:$F$8,2,FALSE)&amp;C99</f>
        <v>NSCLCUnknown1</v>
      </c>
      <c r="B99" t="s">
        <v>19</v>
      </c>
      <c r="C99">
        <v>1</v>
      </c>
      <c r="D99" t="s">
        <v>4</v>
      </c>
      <c r="E99" s="1">
        <v>3.2432432432432434E-2</v>
      </c>
      <c r="F99" s="1">
        <v>4.5945945945945948E-2</v>
      </c>
      <c r="G99" s="1">
        <v>0.10540540540540541</v>
      </c>
      <c r="H99" s="1">
        <v>2.1621621621621623E-2</v>
      </c>
      <c r="I99" s="1">
        <v>2.7027027027027029E-3</v>
      </c>
      <c r="J99" s="1">
        <v>3.783783783783784E-2</v>
      </c>
      <c r="K99" s="1">
        <v>0.75405405405405401</v>
      </c>
      <c r="L99" s="1">
        <v>0</v>
      </c>
      <c r="M99" s="1">
        <v>1</v>
      </c>
      <c r="N99" s="2">
        <v>370</v>
      </c>
      <c r="P99" s="1">
        <v>1.9E-2</v>
      </c>
      <c r="Q99" s="1">
        <v>5.6000000000000001E-2</v>
      </c>
      <c r="R99" s="1">
        <v>2.9000000000000001E-2</v>
      </c>
      <c r="S99" s="1">
        <v>7.1999999999999995E-2</v>
      </c>
      <c r="T99" s="1">
        <v>7.8E-2</v>
      </c>
      <c r="U99" s="1">
        <v>0.14099999999999999</v>
      </c>
      <c r="V99" s="1">
        <v>1.0999999999999999E-2</v>
      </c>
      <c r="W99" s="1">
        <v>4.2000000000000003E-2</v>
      </c>
      <c r="X99" s="1">
        <v>0</v>
      </c>
      <c r="Y99" s="1">
        <v>1.4999999999999999E-2</v>
      </c>
      <c r="Z99" s="1">
        <v>2.3E-2</v>
      </c>
      <c r="AA99" s="1">
        <v>6.3E-2</v>
      </c>
      <c r="AB99" s="1">
        <v>0.70799999999999996</v>
      </c>
      <c r="AC99" s="1">
        <v>0.79500000000000004</v>
      </c>
      <c r="AD99" s="1">
        <v>0</v>
      </c>
      <c r="AE99" s="1">
        <v>0.01</v>
      </c>
    </row>
    <row r="100" spans="1:31" x14ac:dyDescent="0.25">
      <c r="A100" t="str">
        <f>B100&amp;VLOOKUP(D100, Lookups!$E$2:$F$8,2,FALSE)&amp;C100</f>
        <v>NSCLCAll Routes1</v>
      </c>
      <c r="B100" t="s">
        <v>19</v>
      </c>
      <c r="C100">
        <v>1</v>
      </c>
      <c r="D100" t="s">
        <v>34</v>
      </c>
      <c r="E100" s="1">
        <v>0.12193585638549158</v>
      </c>
      <c r="F100" s="1">
        <v>9.821006771298095E-2</v>
      </c>
      <c r="G100" s="1">
        <v>0.18062043987192272</v>
      </c>
      <c r="H100" s="1">
        <v>3.0812030864521549E-2</v>
      </c>
      <c r="I100" s="1">
        <v>4.776652144244397E-3</v>
      </c>
      <c r="J100" s="1">
        <v>7.7266285234370902E-2</v>
      </c>
      <c r="K100" s="1">
        <v>0.48343918954385595</v>
      </c>
      <c r="L100" s="1">
        <v>2.9394782426119363E-3</v>
      </c>
      <c r="M100" s="1">
        <v>1</v>
      </c>
      <c r="N100" s="2">
        <v>19051</v>
      </c>
      <c r="P100" s="1">
        <v>0.11700000000000001</v>
      </c>
      <c r="Q100" s="1">
        <v>0.127</v>
      </c>
      <c r="R100" s="1">
        <v>9.4E-2</v>
      </c>
      <c r="S100" s="1">
        <v>0.10299999999999999</v>
      </c>
      <c r="T100" s="1">
        <v>0.17499999999999999</v>
      </c>
      <c r="U100" s="1">
        <v>0.186</v>
      </c>
      <c r="V100" s="1">
        <v>2.8000000000000001E-2</v>
      </c>
      <c r="W100" s="1">
        <v>3.3000000000000002E-2</v>
      </c>
      <c r="X100" s="1">
        <v>4.0000000000000001E-3</v>
      </c>
      <c r="Y100" s="1">
        <v>6.0000000000000001E-3</v>
      </c>
      <c r="Z100" s="1">
        <v>7.3999999999999996E-2</v>
      </c>
      <c r="AA100" s="1">
        <v>8.1000000000000003E-2</v>
      </c>
      <c r="AB100" s="1">
        <v>0.47599999999999998</v>
      </c>
      <c r="AC100" s="1">
        <v>0.49099999999999999</v>
      </c>
      <c r="AD100" s="1">
        <v>2E-3</v>
      </c>
      <c r="AE100" s="1">
        <v>4.0000000000000001E-3</v>
      </c>
    </row>
    <row r="101" spans="1:31" x14ac:dyDescent="0.25">
      <c r="A101" t="str">
        <f>B101&amp;VLOOKUP(D101, Lookups!$E$2:$F$8,2,FALSE)&amp;C101</f>
        <v>NSCLCScreen detected2</v>
      </c>
      <c r="B101" t="s">
        <v>19</v>
      </c>
      <c r="C101">
        <v>2</v>
      </c>
      <c r="D101" t="s">
        <v>30</v>
      </c>
      <c r="E101" s="1" t="s">
        <v>137</v>
      </c>
      <c r="F101" s="1" t="s">
        <v>137</v>
      </c>
      <c r="G101" s="1" t="s">
        <v>137</v>
      </c>
      <c r="H101" s="1" t="s">
        <v>137</v>
      </c>
      <c r="I101" s="1" t="s">
        <v>137</v>
      </c>
      <c r="J101" s="1" t="s">
        <v>137</v>
      </c>
      <c r="K101" s="1" t="s">
        <v>137</v>
      </c>
      <c r="L101" s="1" t="s">
        <v>137</v>
      </c>
      <c r="M101" s="1">
        <v>0</v>
      </c>
      <c r="N101" s="2">
        <v>0</v>
      </c>
      <c r="P101" s="1"/>
      <c r="Q101" s="1"/>
      <c r="R101" s="1"/>
      <c r="S101" s="1"/>
      <c r="T101" s="1"/>
      <c r="U101" s="1"/>
      <c r="V101" s="1"/>
      <c r="W101" s="1"/>
      <c r="X101" s="1"/>
      <c r="Y101" s="1"/>
      <c r="Z101" s="1"/>
      <c r="AA101" s="1"/>
      <c r="AB101" s="1"/>
      <c r="AC101" s="1"/>
      <c r="AD101" s="1"/>
      <c r="AE101" s="1"/>
    </row>
    <row r="102" spans="1:31" x14ac:dyDescent="0.25">
      <c r="A102" t="str">
        <f>B102&amp;VLOOKUP(D102, Lookups!$E$2:$F$8,2,FALSE)&amp;C102</f>
        <v>NSCLCTwo Week Wait2</v>
      </c>
      <c r="B102" t="s">
        <v>19</v>
      </c>
      <c r="C102">
        <v>2</v>
      </c>
      <c r="D102" t="s">
        <v>31</v>
      </c>
      <c r="E102" s="1">
        <v>0.14502923976608187</v>
      </c>
      <c r="F102" s="1">
        <v>0.13567251461988303</v>
      </c>
      <c r="G102" s="1">
        <v>0.23352826510721247</v>
      </c>
      <c r="H102" s="1">
        <v>3.8986354775828458E-2</v>
      </c>
      <c r="I102" s="1">
        <v>7.7972709551656916E-3</v>
      </c>
      <c r="J102" s="1">
        <v>0.11734892787524366</v>
      </c>
      <c r="K102" s="1">
        <v>0.31695906432748538</v>
      </c>
      <c r="L102" s="1">
        <v>4.6783625730994153E-3</v>
      </c>
      <c r="M102" s="1">
        <v>0.99999999999999989</v>
      </c>
      <c r="N102" s="2">
        <v>2565</v>
      </c>
      <c r="P102" s="1">
        <v>0.13200000000000001</v>
      </c>
      <c r="Q102" s="1">
        <v>0.159</v>
      </c>
      <c r="R102" s="1">
        <v>0.123</v>
      </c>
      <c r="S102" s="1">
        <v>0.14899999999999999</v>
      </c>
      <c r="T102" s="1">
        <v>0.218</v>
      </c>
      <c r="U102" s="1">
        <v>0.25</v>
      </c>
      <c r="V102" s="1">
        <v>3.2000000000000001E-2</v>
      </c>
      <c r="W102" s="1">
        <v>4.7E-2</v>
      </c>
      <c r="X102" s="1">
        <v>5.0000000000000001E-3</v>
      </c>
      <c r="Y102" s="1">
        <v>1.2E-2</v>
      </c>
      <c r="Z102" s="1">
        <v>0.105</v>
      </c>
      <c r="AA102" s="1">
        <v>0.13</v>
      </c>
      <c r="AB102" s="1">
        <v>0.29899999999999999</v>
      </c>
      <c r="AC102" s="1">
        <v>0.33500000000000002</v>
      </c>
      <c r="AD102" s="1">
        <v>3.0000000000000001E-3</v>
      </c>
      <c r="AE102" s="1">
        <v>8.0000000000000002E-3</v>
      </c>
    </row>
    <row r="103" spans="1:31" x14ac:dyDescent="0.25">
      <c r="A103" t="str">
        <f>B103&amp;VLOOKUP(D103, Lookups!$E$2:$F$8,2,FALSE)&amp;C103</f>
        <v>NSCLCGP referral2</v>
      </c>
      <c r="B103" t="s">
        <v>19</v>
      </c>
      <c r="C103">
        <v>2</v>
      </c>
      <c r="D103" t="s">
        <v>2</v>
      </c>
      <c r="E103" s="1">
        <v>0.18190954773869347</v>
      </c>
      <c r="F103" s="1">
        <v>9.3467336683417085E-2</v>
      </c>
      <c r="G103" s="1">
        <v>0.21541038525963149</v>
      </c>
      <c r="H103" s="1">
        <v>3.5845896147403682E-2</v>
      </c>
      <c r="I103" s="1">
        <v>7.3701842546063647E-3</v>
      </c>
      <c r="J103" s="1">
        <v>7.1691792294807363E-2</v>
      </c>
      <c r="K103" s="1">
        <v>0.38994974874371857</v>
      </c>
      <c r="L103" s="1">
        <v>4.3551088777219428E-3</v>
      </c>
      <c r="M103" s="1">
        <v>0.99999999999999989</v>
      </c>
      <c r="N103" s="2">
        <v>2985</v>
      </c>
      <c r="P103" s="1">
        <v>0.16800000000000001</v>
      </c>
      <c r="Q103" s="1">
        <v>0.19600000000000001</v>
      </c>
      <c r="R103" s="1">
        <v>8.4000000000000005E-2</v>
      </c>
      <c r="S103" s="1">
        <v>0.104</v>
      </c>
      <c r="T103" s="1">
        <v>0.20100000000000001</v>
      </c>
      <c r="U103" s="1">
        <v>0.23100000000000001</v>
      </c>
      <c r="V103" s="1">
        <v>0.03</v>
      </c>
      <c r="W103" s="1">
        <v>4.2999999999999997E-2</v>
      </c>
      <c r="X103" s="1">
        <v>5.0000000000000001E-3</v>
      </c>
      <c r="Y103" s="1">
        <v>1.0999999999999999E-2</v>
      </c>
      <c r="Z103" s="1">
        <v>6.3E-2</v>
      </c>
      <c r="AA103" s="1">
        <v>8.2000000000000003E-2</v>
      </c>
      <c r="AB103" s="1">
        <v>0.373</v>
      </c>
      <c r="AC103" s="1">
        <v>0.40799999999999997</v>
      </c>
      <c r="AD103" s="1">
        <v>3.0000000000000001E-3</v>
      </c>
      <c r="AE103" s="1">
        <v>7.0000000000000001E-3</v>
      </c>
    </row>
    <row r="104" spans="1:31" x14ac:dyDescent="0.25">
      <c r="A104" t="str">
        <f>B104&amp;VLOOKUP(D104, Lookups!$E$2:$F$8,2,FALSE)&amp;C104</f>
        <v>NSCLCIP &amp; OP2</v>
      </c>
      <c r="B104" t="s">
        <v>19</v>
      </c>
      <c r="C104">
        <v>2</v>
      </c>
      <c r="D104" t="s">
        <v>32</v>
      </c>
      <c r="E104" s="1">
        <v>0.29312114989733057</v>
      </c>
      <c r="F104" s="1">
        <v>8.5215605749486653E-2</v>
      </c>
      <c r="G104" s="1">
        <v>0.15759753593429157</v>
      </c>
      <c r="H104" s="1">
        <v>4.8254620123203286E-2</v>
      </c>
      <c r="I104" s="1">
        <v>8.2135523613963042E-3</v>
      </c>
      <c r="J104" s="1">
        <v>6.1088295687885014E-2</v>
      </c>
      <c r="K104" s="1">
        <v>0.34445585215605751</v>
      </c>
      <c r="L104" s="1">
        <v>2.0533880903490761E-3</v>
      </c>
      <c r="M104" s="1">
        <v>1</v>
      </c>
      <c r="N104" s="2">
        <v>1948</v>
      </c>
      <c r="P104" s="1">
        <v>0.27300000000000002</v>
      </c>
      <c r="Q104" s="1">
        <v>0.314</v>
      </c>
      <c r="R104" s="1">
        <v>7.3999999999999996E-2</v>
      </c>
      <c r="S104" s="1">
        <v>9.8000000000000004E-2</v>
      </c>
      <c r="T104" s="1">
        <v>0.14199999999999999</v>
      </c>
      <c r="U104" s="1">
        <v>0.17399999999999999</v>
      </c>
      <c r="V104" s="1">
        <v>0.04</v>
      </c>
      <c r="W104" s="1">
        <v>5.8999999999999997E-2</v>
      </c>
      <c r="X104" s="1">
        <v>5.0000000000000001E-3</v>
      </c>
      <c r="Y104" s="1">
        <v>1.2999999999999999E-2</v>
      </c>
      <c r="Z104" s="1">
        <v>5.0999999999999997E-2</v>
      </c>
      <c r="AA104" s="1">
        <v>7.2999999999999995E-2</v>
      </c>
      <c r="AB104" s="1">
        <v>0.32400000000000001</v>
      </c>
      <c r="AC104" s="1">
        <v>0.36599999999999999</v>
      </c>
      <c r="AD104" s="1">
        <v>1E-3</v>
      </c>
      <c r="AE104" s="1">
        <v>5.0000000000000001E-3</v>
      </c>
    </row>
    <row r="105" spans="1:31" x14ac:dyDescent="0.25">
      <c r="A105" t="str">
        <f>B105&amp;VLOOKUP(D105, Lookups!$E$2:$F$8,2,FALSE)&amp;C105</f>
        <v>NSCLCEmergency presentation2</v>
      </c>
      <c r="B105" t="s">
        <v>19</v>
      </c>
      <c r="C105">
        <v>2</v>
      </c>
      <c r="D105" t="s">
        <v>33</v>
      </c>
      <c r="E105" s="1">
        <v>3.1756911126342241E-2</v>
      </c>
      <c r="F105" s="1">
        <v>4.7978067169294036E-2</v>
      </c>
      <c r="G105" s="1">
        <v>0.12268677176148046</v>
      </c>
      <c r="H105" s="1">
        <v>4.340872743888508E-3</v>
      </c>
      <c r="I105" s="1">
        <v>1.5992689056431345E-3</v>
      </c>
      <c r="J105" s="1">
        <v>2.3760566598126569E-2</v>
      </c>
      <c r="K105" s="1">
        <v>0.76742060772218412</v>
      </c>
      <c r="L105" s="1">
        <v>4.569339730408956E-4</v>
      </c>
      <c r="M105" s="1">
        <v>1</v>
      </c>
      <c r="N105" s="2">
        <v>4377</v>
      </c>
      <c r="P105" s="1">
        <v>2.7E-2</v>
      </c>
      <c r="Q105" s="1">
        <v>3.6999999999999998E-2</v>
      </c>
      <c r="R105" s="1">
        <v>4.2000000000000003E-2</v>
      </c>
      <c r="S105" s="1">
        <v>5.5E-2</v>
      </c>
      <c r="T105" s="1">
        <v>0.113</v>
      </c>
      <c r="U105" s="1">
        <v>0.13300000000000001</v>
      </c>
      <c r="V105" s="1">
        <v>3.0000000000000001E-3</v>
      </c>
      <c r="W105" s="1">
        <v>7.0000000000000001E-3</v>
      </c>
      <c r="X105" s="1">
        <v>1E-3</v>
      </c>
      <c r="Y105" s="1">
        <v>3.0000000000000001E-3</v>
      </c>
      <c r="Z105" s="1">
        <v>0.02</v>
      </c>
      <c r="AA105" s="1">
        <v>2.9000000000000001E-2</v>
      </c>
      <c r="AB105" s="1">
        <v>0.755</v>
      </c>
      <c r="AC105" s="1">
        <v>0.78</v>
      </c>
      <c r="AD105" s="1">
        <v>0</v>
      </c>
      <c r="AE105" s="1">
        <v>2E-3</v>
      </c>
    </row>
    <row r="106" spans="1:31" x14ac:dyDescent="0.25">
      <c r="A106" t="str">
        <f>B106&amp;VLOOKUP(D106, Lookups!$E$2:$F$8,2,FALSE)&amp;C106</f>
        <v>NSCLCUnknown2</v>
      </c>
      <c r="B106" t="s">
        <v>19</v>
      </c>
      <c r="C106">
        <v>2</v>
      </c>
      <c r="D106" t="s">
        <v>4</v>
      </c>
      <c r="E106" s="1">
        <v>0.05</v>
      </c>
      <c r="F106" s="1">
        <v>0.04</v>
      </c>
      <c r="G106" s="1">
        <v>0.125</v>
      </c>
      <c r="H106" s="1">
        <v>0.01</v>
      </c>
      <c r="I106" s="1">
        <v>0.01</v>
      </c>
      <c r="J106" s="1">
        <v>0.03</v>
      </c>
      <c r="K106" s="1">
        <v>0.73499999999999999</v>
      </c>
      <c r="L106" s="1">
        <v>0</v>
      </c>
      <c r="M106" s="1">
        <v>1</v>
      </c>
      <c r="N106" s="2">
        <v>200</v>
      </c>
      <c r="P106" s="1">
        <v>2.7E-2</v>
      </c>
      <c r="Q106" s="1">
        <v>0.09</v>
      </c>
      <c r="R106" s="1">
        <v>0.02</v>
      </c>
      <c r="S106" s="1">
        <v>7.6999999999999999E-2</v>
      </c>
      <c r="T106" s="1">
        <v>8.5999999999999993E-2</v>
      </c>
      <c r="U106" s="1">
        <v>0.17799999999999999</v>
      </c>
      <c r="V106" s="1">
        <v>3.0000000000000001E-3</v>
      </c>
      <c r="W106" s="1">
        <v>3.5999999999999997E-2</v>
      </c>
      <c r="X106" s="1">
        <v>3.0000000000000001E-3</v>
      </c>
      <c r="Y106" s="1">
        <v>3.5999999999999997E-2</v>
      </c>
      <c r="Z106" s="1">
        <v>1.4E-2</v>
      </c>
      <c r="AA106" s="1">
        <v>6.4000000000000001E-2</v>
      </c>
      <c r="AB106" s="1">
        <v>0.67</v>
      </c>
      <c r="AC106" s="1">
        <v>0.79100000000000004</v>
      </c>
      <c r="AD106" s="1">
        <v>0</v>
      </c>
      <c r="AE106" s="1">
        <v>1.9E-2</v>
      </c>
    </row>
    <row r="107" spans="1:31" x14ac:dyDescent="0.25">
      <c r="A107" t="str">
        <f>B107&amp;VLOOKUP(D107, Lookups!$E$2:$F$8,2,FALSE)&amp;C107</f>
        <v>NSCLCAll Routes2</v>
      </c>
      <c r="B107" t="s">
        <v>19</v>
      </c>
      <c r="C107">
        <v>2</v>
      </c>
      <c r="D107" t="s">
        <v>34</v>
      </c>
      <c r="E107" s="1">
        <v>0.13540372670807455</v>
      </c>
      <c r="F107" s="1">
        <v>8.3726708074534167E-2</v>
      </c>
      <c r="G107" s="1">
        <v>0.174824016563147</v>
      </c>
      <c r="H107" s="1">
        <v>2.6666666666666668E-2</v>
      </c>
      <c r="I107" s="1">
        <v>5.5486542443064181E-3</v>
      </c>
      <c r="J107" s="1">
        <v>6.1614906832298137E-2</v>
      </c>
      <c r="K107" s="1">
        <v>0.50964803312629403</v>
      </c>
      <c r="L107" s="1">
        <v>2.5672877846790892E-3</v>
      </c>
      <c r="M107" s="1">
        <v>1</v>
      </c>
      <c r="N107" s="2">
        <v>12075</v>
      </c>
      <c r="P107" s="1">
        <v>0.129</v>
      </c>
      <c r="Q107" s="1">
        <v>0.14199999999999999</v>
      </c>
      <c r="R107" s="1">
        <v>7.9000000000000001E-2</v>
      </c>
      <c r="S107" s="1">
        <v>8.8999999999999996E-2</v>
      </c>
      <c r="T107" s="1">
        <v>0.16800000000000001</v>
      </c>
      <c r="U107" s="1">
        <v>0.182</v>
      </c>
      <c r="V107" s="1">
        <v>2.4E-2</v>
      </c>
      <c r="W107" s="1">
        <v>0.03</v>
      </c>
      <c r="X107" s="1">
        <v>4.0000000000000001E-3</v>
      </c>
      <c r="Y107" s="1">
        <v>7.0000000000000001E-3</v>
      </c>
      <c r="Z107" s="1">
        <v>5.7000000000000002E-2</v>
      </c>
      <c r="AA107" s="1">
        <v>6.6000000000000003E-2</v>
      </c>
      <c r="AB107" s="1">
        <v>0.501</v>
      </c>
      <c r="AC107" s="1">
        <v>0.51900000000000002</v>
      </c>
      <c r="AD107" s="1">
        <v>2E-3</v>
      </c>
      <c r="AE107" s="1">
        <v>4.0000000000000001E-3</v>
      </c>
    </row>
    <row r="108" spans="1:31" x14ac:dyDescent="0.25">
      <c r="A108" t="str">
        <f>B108&amp;VLOOKUP(D108, Lookups!$E$2:$F$8,2,FALSE)&amp;C108</f>
        <v>NSCLCScreen detected3+</v>
      </c>
      <c r="B108" t="s">
        <v>19</v>
      </c>
      <c r="C108" t="s">
        <v>40</v>
      </c>
      <c r="D108" t="s">
        <v>30</v>
      </c>
      <c r="E108" s="1" t="s">
        <v>137</v>
      </c>
      <c r="F108" s="1" t="s">
        <v>137</v>
      </c>
      <c r="G108" s="1" t="s">
        <v>137</v>
      </c>
      <c r="H108" s="1" t="s">
        <v>137</v>
      </c>
      <c r="I108" s="1" t="s">
        <v>137</v>
      </c>
      <c r="J108" s="1" t="s">
        <v>137</v>
      </c>
      <c r="K108" s="1" t="s">
        <v>137</v>
      </c>
      <c r="L108" s="1" t="s">
        <v>137</v>
      </c>
      <c r="M108" s="1">
        <v>0</v>
      </c>
      <c r="N108" s="2">
        <v>0</v>
      </c>
      <c r="P108" s="1"/>
      <c r="Q108" s="1"/>
      <c r="R108" s="1"/>
      <c r="S108" s="1"/>
      <c r="T108" s="1"/>
      <c r="U108" s="1"/>
      <c r="V108" s="1"/>
      <c r="W108" s="1"/>
      <c r="X108" s="1"/>
      <c r="Y108" s="1"/>
      <c r="Z108" s="1"/>
      <c r="AA108" s="1"/>
      <c r="AB108" s="1"/>
      <c r="AC108" s="1"/>
      <c r="AD108" s="1"/>
      <c r="AE108" s="1"/>
    </row>
    <row r="109" spans="1:31" x14ac:dyDescent="0.25">
      <c r="A109" t="str">
        <f>B109&amp;VLOOKUP(D109, Lookups!$E$2:$F$8,2,FALSE)&amp;C109</f>
        <v>NSCLCTwo Week Wait3+</v>
      </c>
      <c r="B109" t="s">
        <v>19</v>
      </c>
      <c r="C109" t="s">
        <v>40</v>
      </c>
      <c r="D109" t="s">
        <v>31</v>
      </c>
      <c r="E109" s="1">
        <v>0.11428571428571428</v>
      </c>
      <c r="F109" s="1">
        <v>9.5824175824175822E-2</v>
      </c>
      <c r="G109" s="1">
        <v>0.26065934065934065</v>
      </c>
      <c r="H109" s="1">
        <v>1.9780219780219779E-2</v>
      </c>
      <c r="I109" s="1">
        <v>5.7142857142857143E-3</v>
      </c>
      <c r="J109" s="1">
        <v>8.3516483516483511E-2</v>
      </c>
      <c r="K109" s="1">
        <v>0.41802197802197805</v>
      </c>
      <c r="L109" s="1">
        <v>2.1978021978021978E-3</v>
      </c>
      <c r="M109" s="1">
        <v>1</v>
      </c>
      <c r="N109" s="2">
        <v>2275</v>
      </c>
      <c r="P109" s="1">
        <v>0.10199999999999999</v>
      </c>
      <c r="Q109" s="1">
        <v>0.128</v>
      </c>
      <c r="R109" s="1">
        <v>8.4000000000000005E-2</v>
      </c>
      <c r="S109" s="1">
        <v>0.109</v>
      </c>
      <c r="T109" s="1">
        <v>0.24299999999999999</v>
      </c>
      <c r="U109" s="1">
        <v>0.27900000000000003</v>
      </c>
      <c r="V109" s="1">
        <v>1.4999999999999999E-2</v>
      </c>
      <c r="W109" s="1">
        <v>2.5999999999999999E-2</v>
      </c>
      <c r="X109" s="1">
        <v>3.0000000000000001E-3</v>
      </c>
      <c r="Y109" s="1">
        <v>0.01</v>
      </c>
      <c r="Z109" s="1">
        <v>7.2999999999999995E-2</v>
      </c>
      <c r="AA109" s="1">
        <v>9.6000000000000002E-2</v>
      </c>
      <c r="AB109" s="1">
        <v>0.39800000000000002</v>
      </c>
      <c r="AC109" s="1">
        <v>0.438</v>
      </c>
      <c r="AD109" s="1">
        <v>1E-3</v>
      </c>
      <c r="AE109" s="1">
        <v>5.0000000000000001E-3</v>
      </c>
    </row>
    <row r="110" spans="1:31" x14ac:dyDescent="0.25">
      <c r="A110" t="str">
        <f>B110&amp;VLOOKUP(D110, Lookups!$E$2:$F$8,2,FALSE)&amp;C110</f>
        <v>NSCLCGP referral3+</v>
      </c>
      <c r="B110" t="s">
        <v>19</v>
      </c>
      <c r="C110" t="s">
        <v>40</v>
      </c>
      <c r="D110" t="s">
        <v>2</v>
      </c>
      <c r="E110" s="1">
        <v>0.14890467732386028</v>
      </c>
      <c r="F110" s="1">
        <v>6.5127294256956778E-2</v>
      </c>
      <c r="G110" s="1">
        <v>0.24008288928359978</v>
      </c>
      <c r="H110" s="1">
        <v>2.0722320899940794E-2</v>
      </c>
      <c r="I110" s="1">
        <v>5.3285968028419185E-3</v>
      </c>
      <c r="J110" s="1">
        <v>4.8549437537004143E-2</v>
      </c>
      <c r="K110" s="1">
        <v>0.46921255180580224</v>
      </c>
      <c r="L110" s="1">
        <v>2.0722320899940793E-3</v>
      </c>
      <c r="M110" s="1">
        <v>1</v>
      </c>
      <c r="N110" s="2">
        <v>3378</v>
      </c>
      <c r="P110" s="1">
        <v>0.13700000000000001</v>
      </c>
      <c r="Q110" s="1">
        <v>0.161</v>
      </c>
      <c r="R110" s="1">
        <v>5.7000000000000002E-2</v>
      </c>
      <c r="S110" s="1">
        <v>7.3999999999999996E-2</v>
      </c>
      <c r="T110" s="1">
        <v>0.22600000000000001</v>
      </c>
      <c r="U110" s="1">
        <v>0.255</v>
      </c>
      <c r="V110" s="1">
        <v>1.6E-2</v>
      </c>
      <c r="W110" s="1">
        <v>2.5999999999999999E-2</v>
      </c>
      <c r="X110" s="1">
        <v>3.0000000000000001E-3</v>
      </c>
      <c r="Y110" s="1">
        <v>8.0000000000000002E-3</v>
      </c>
      <c r="Z110" s="1">
        <v>4.2000000000000003E-2</v>
      </c>
      <c r="AA110" s="1">
        <v>5.6000000000000001E-2</v>
      </c>
      <c r="AB110" s="1">
        <v>0.45200000000000001</v>
      </c>
      <c r="AC110" s="1">
        <v>0.48599999999999999</v>
      </c>
      <c r="AD110" s="1">
        <v>1E-3</v>
      </c>
      <c r="AE110" s="1">
        <v>4.0000000000000001E-3</v>
      </c>
    </row>
    <row r="111" spans="1:31" x14ac:dyDescent="0.25">
      <c r="A111" t="str">
        <f>B111&amp;VLOOKUP(D111, Lookups!$E$2:$F$8,2,FALSE)&amp;C111</f>
        <v>NSCLCIP &amp; OP3+</v>
      </c>
      <c r="B111" t="s">
        <v>19</v>
      </c>
      <c r="C111" t="s">
        <v>40</v>
      </c>
      <c r="D111" t="s">
        <v>32</v>
      </c>
      <c r="E111" s="1">
        <v>0.21694417238001959</v>
      </c>
      <c r="F111" s="1">
        <v>6.0235063663075419E-2</v>
      </c>
      <c r="G111" s="1">
        <v>0.2198824681684623</v>
      </c>
      <c r="H111" s="1">
        <v>2.5465230166503428E-2</v>
      </c>
      <c r="I111" s="1">
        <v>7.3457394711067582E-3</v>
      </c>
      <c r="J111" s="1">
        <v>4.701273261508325E-2</v>
      </c>
      <c r="K111" s="1">
        <v>0.42066601371204704</v>
      </c>
      <c r="L111" s="1">
        <v>2.4485798237022529E-3</v>
      </c>
      <c r="M111" s="1">
        <v>1</v>
      </c>
      <c r="N111" s="2">
        <v>2042</v>
      </c>
      <c r="P111" s="1">
        <v>0.2</v>
      </c>
      <c r="Q111" s="1">
        <v>0.23499999999999999</v>
      </c>
      <c r="R111" s="1">
        <v>5.0999999999999997E-2</v>
      </c>
      <c r="S111" s="1">
        <v>7.0999999999999994E-2</v>
      </c>
      <c r="T111" s="1">
        <v>0.20200000000000001</v>
      </c>
      <c r="U111" s="1">
        <v>0.23799999999999999</v>
      </c>
      <c r="V111" s="1">
        <v>1.9E-2</v>
      </c>
      <c r="W111" s="1">
        <v>3.3000000000000002E-2</v>
      </c>
      <c r="X111" s="1">
        <v>4.0000000000000001E-3</v>
      </c>
      <c r="Y111" s="1">
        <v>1.2E-2</v>
      </c>
      <c r="Z111" s="1">
        <v>3.9E-2</v>
      </c>
      <c r="AA111" s="1">
        <v>5.7000000000000002E-2</v>
      </c>
      <c r="AB111" s="1">
        <v>0.39900000000000002</v>
      </c>
      <c r="AC111" s="1">
        <v>0.442</v>
      </c>
      <c r="AD111" s="1">
        <v>1E-3</v>
      </c>
      <c r="AE111" s="1">
        <v>6.0000000000000001E-3</v>
      </c>
    </row>
    <row r="112" spans="1:31" x14ac:dyDescent="0.25">
      <c r="A112" t="str">
        <f>B112&amp;VLOOKUP(D112, Lookups!$E$2:$F$8,2,FALSE)&amp;C112</f>
        <v>NSCLCEmergency presentation3+</v>
      </c>
      <c r="B112" t="s">
        <v>19</v>
      </c>
      <c r="C112" t="s">
        <v>40</v>
      </c>
      <c r="D112" t="s">
        <v>33</v>
      </c>
      <c r="E112" s="1">
        <v>1.8696487856019569E-2</v>
      </c>
      <c r="F112" s="1">
        <v>2.1841691420583609E-2</v>
      </c>
      <c r="G112" s="1">
        <v>0.1106063253538354</v>
      </c>
      <c r="H112" s="1">
        <v>4.7178053468460599E-3</v>
      </c>
      <c r="I112" s="1">
        <v>1.0484011881880134E-3</v>
      </c>
      <c r="J112" s="1">
        <v>1.0309278350515464E-2</v>
      </c>
      <c r="K112" s="1">
        <v>0.83243054342128253</v>
      </c>
      <c r="L112" s="1">
        <v>3.4946706272933774E-4</v>
      </c>
      <c r="M112" s="1">
        <v>1</v>
      </c>
      <c r="N112" s="2">
        <v>5723</v>
      </c>
      <c r="P112" s="1">
        <v>1.4999999999999999E-2</v>
      </c>
      <c r="Q112" s="1">
        <v>2.3E-2</v>
      </c>
      <c r="R112" s="1">
        <v>1.7999999999999999E-2</v>
      </c>
      <c r="S112" s="1">
        <v>2.5999999999999999E-2</v>
      </c>
      <c r="T112" s="1">
        <v>0.10299999999999999</v>
      </c>
      <c r="U112" s="1">
        <v>0.11899999999999999</v>
      </c>
      <c r="V112" s="1">
        <v>3.0000000000000001E-3</v>
      </c>
      <c r="W112" s="1">
        <v>7.0000000000000001E-3</v>
      </c>
      <c r="X112" s="1">
        <v>0</v>
      </c>
      <c r="Y112" s="1">
        <v>2E-3</v>
      </c>
      <c r="Z112" s="1">
        <v>8.0000000000000002E-3</v>
      </c>
      <c r="AA112" s="1">
        <v>1.2999999999999999E-2</v>
      </c>
      <c r="AB112" s="1">
        <v>0.82299999999999995</v>
      </c>
      <c r="AC112" s="1">
        <v>0.84199999999999997</v>
      </c>
      <c r="AD112" s="1">
        <v>0</v>
      </c>
      <c r="AE112" s="1">
        <v>1E-3</v>
      </c>
    </row>
    <row r="113" spans="1:31" x14ac:dyDescent="0.25">
      <c r="A113" t="str">
        <f>B113&amp;VLOOKUP(D113, Lookups!$E$2:$F$8,2,FALSE)&amp;C113</f>
        <v>NSCLCUnknown3+</v>
      </c>
      <c r="B113" t="s">
        <v>19</v>
      </c>
      <c r="C113" t="s">
        <v>40</v>
      </c>
      <c r="D113" t="s">
        <v>4</v>
      </c>
      <c r="E113" s="1">
        <v>6.1320754716981132E-2</v>
      </c>
      <c r="F113" s="1">
        <v>3.3018867924528301E-2</v>
      </c>
      <c r="G113" s="1">
        <v>0.14622641509433962</v>
      </c>
      <c r="H113" s="1">
        <v>0</v>
      </c>
      <c r="I113" s="1">
        <v>4.7169811320754715E-3</v>
      </c>
      <c r="J113" s="1">
        <v>9.433962264150943E-3</v>
      </c>
      <c r="K113" s="1">
        <v>0.74528301886792447</v>
      </c>
      <c r="L113" s="1">
        <v>0</v>
      </c>
      <c r="M113" s="1">
        <v>1</v>
      </c>
      <c r="N113" s="2">
        <v>212</v>
      </c>
      <c r="P113" s="1">
        <v>3.5999999999999997E-2</v>
      </c>
      <c r="Q113" s="1">
        <v>0.10199999999999999</v>
      </c>
      <c r="R113" s="1">
        <v>1.6E-2</v>
      </c>
      <c r="S113" s="1">
        <v>6.7000000000000004E-2</v>
      </c>
      <c r="T113" s="1">
        <v>0.105</v>
      </c>
      <c r="U113" s="1">
        <v>0.2</v>
      </c>
      <c r="V113" s="1">
        <v>0</v>
      </c>
      <c r="W113" s="1">
        <v>1.7999999999999999E-2</v>
      </c>
      <c r="X113" s="1">
        <v>1E-3</v>
      </c>
      <c r="Y113" s="1">
        <v>2.5999999999999999E-2</v>
      </c>
      <c r="Z113" s="1">
        <v>3.0000000000000001E-3</v>
      </c>
      <c r="AA113" s="1">
        <v>3.4000000000000002E-2</v>
      </c>
      <c r="AB113" s="1">
        <v>0.68300000000000005</v>
      </c>
      <c r="AC113" s="1">
        <v>0.79900000000000004</v>
      </c>
      <c r="AD113" s="1">
        <v>0</v>
      </c>
      <c r="AE113" s="1">
        <v>1.7999999999999999E-2</v>
      </c>
    </row>
    <row r="114" spans="1:31" x14ac:dyDescent="0.25">
      <c r="A114" t="str">
        <f>B114&amp;VLOOKUP(D114, Lookups!$E$2:$F$8,2,FALSE)&amp;C114</f>
        <v>NSCLCAll Routes3+</v>
      </c>
      <c r="B114" t="s">
        <v>19</v>
      </c>
      <c r="C114" t="s">
        <v>40</v>
      </c>
      <c r="D114" t="s">
        <v>34</v>
      </c>
      <c r="E114" s="1">
        <v>9.7285399853264856E-2</v>
      </c>
      <c r="F114" s="1">
        <v>5.0843727072633897E-2</v>
      </c>
      <c r="G114" s="1">
        <v>0.18466617754952311</v>
      </c>
      <c r="H114" s="1">
        <v>1.4233308877476156E-2</v>
      </c>
      <c r="I114" s="1">
        <v>3.8884812912692592E-3</v>
      </c>
      <c r="J114" s="1">
        <v>3.7490829053558328E-2</v>
      </c>
      <c r="K114" s="1">
        <v>0.61019809244314016</v>
      </c>
      <c r="L114" s="1">
        <v>1.3939838591342628E-3</v>
      </c>
      <c r="M114" s="1">
        <v>1</v>
      </c>
      <c r="N114" s="2">
        <v>13630</v>
      </c>
      <c r="P114" s="1">
        <v>9.1999999999999998E-2</v>
      </c>
      <c r="Q114" s="1">
        <v>0.10199999999999999</v>
      </c>
      <c r="R114" s="1">
        <v>4.7E-2</v>
      </c>
      <c r="S114" s="1">
        <v>5.5E-2</v>
      </c>
      <c r="T114" s="1">
        <v>0.17799999999999999</v>
      </c>
      <c r="U114" s="1">
        <v>0.191</v>
      </c>
      <c r="V114" s="1">
        <v>1.2E-2</v>
      </c>
      <c r="W114" s="1">
        <v>1.6E-2</v>
      </c>
      <c r="X114" s="1">
        <v>3.0000000000000001E-3</v>
      </c>
      <c r="Y114" s="1">
        <v>5.0000000000000001E-3</v>
      </c>
      <c r="Z114" s="1">
        <v>3.4000000000000002E-2</v>
      </c>
      <c r="AA114" s="1">
        <v>4.1000000000000002E-2</v>
      </c>
      <c r="AB114" s="1">
        <v>0.60199999999999998</v>
      </c>
      <c r="AC114" s="1">
        <v>0.61799999999999999</v>
      </c>
      <c r="AD114" s="1">
        <v>1E-3</v>
      </c>
      <c r="AE114" s="1">
        <v>2E-3</v>
      </c>
    </row>
    <row r="115" spans="1:31" x14ac:dyDescent="0.25">
      <c r="A115" t="str">
        <f>B115&amp;VLOOKUP(D115, Lookups!$E$2:$F$8,2,FALSE)&amp;C115</f>
        <v>SCLCScreen detected0</v>
      </c>
      <c r="B115" t="s">
        <v>20</v>
      </c>
      <c r="C115">
        <v>0</v>
      </c>
      <c r="D115" t="s">
        <v>30</v>
      </c>
      <c r="E115" s="1" t="s">
        <v>137</v>
      </c>
      <c r="F115" s="1" t="s">
        <v>137</v>
      </c>
      <c r="G115" s="1" t="s">
        <v>137</v>
      </c>
      <c r="H115" s="1" t="s">
        <v>137</v>
      </c>
      <c r="I115" s="1" t="s">
        <v>137</v>
      </c>
      <c r="J115" s="1" t="s">
        <v>137</v>
      </c>
      <c r="K115" s="1" t="s">
        <v>137</v>
      </c>
      <c r="L115" s="1" t="s">
        <v>137</v>
      </c>
      <c r="M115" s="1">
        <v>0</v>
      </c>
      <c r="N115" s="2">
        <v>0</v>
      </c>
      <c r="P115" s="1"/>
      <c r="Q115" s="1"/>
      <c r="R115" s="1"/>
      <c r="S115" s="1"/>
      <c r="T115" s="1"/>
      <c r="U115" s="1"/>
      <c r="V115" s="1"/>
      <c r="W115" s="1"/>
      <c r="X115" s="1"/>
      <c r="Y115" s="1"/>
      <c r="Z115" s="1"/>
      <c r="AA115" s="1"/>
      <c r="AB115" s="1"/>
      <c r="AC115" s="1"/>
      <c r="AD115" s="1"/>
      <c r="AE115" s="1"/>
    </row>
    <row r="116" spans="1:31" x14ac:dyDescent="0.25">
      <c r="A116" t="str">
        <f>B116&amp;VLOOKUP(D116, Lookups!$E$2:$F$8,2,FALSE)&amp;C116</f>
        <v>SCLCTwo Week Wait0</v>
      </c>
      <c r="B116" t="s">
        <v>20</v>
      </c>
      <c r="C116">
        <v>0</v>
      </c>
      <c r="D116" t="s">
        <v>31</v>
      </c>
      <c r="E116" s="1">
        <v>6.7008277493102088E-3</v>
      </c>
      <c r="F116" s="1">
        <v>0.34686637761135197</v>
      </c>
      <c r="G116" s="1">
        <v>3.4292471422940479E-2</v>
      </c>
      <c r="H116" s="1">
        <v>1.4189988175009854E-2</v>
      </c>
      <c r="I116" s="1">
        <v>3.9416633819471815E-4</v>
      </c>
      <c r="J116" s="1">
        <v>0.51517540402049666</v>
      </c>
      <c r="K116" s="1">
        <v>7.7650768624359476E-2</v>
      </c>
      <c r="L116" s="1">
        <v>4.7299960583366179E-3</v>
      </c>
      <c r="M116" s="1">
        <v>0.99999999999999989</v>
      </c>
      <c r="N116" s="2">
        <v>2537</v>
      </c>
      <c r="P116" s="1">
        <v>4.0000000000000001E-3</v>
      </c>
      <c r="Q116" s="1">
        <v>1.0999999999999999E-2</v>
      </c>
      <c r="R116" s="1">
        <v>0.32900000000000001</v>
      </c>
      <c r="S116" s="1">
        <v>0.36599999999999999</v>
      </c>
      <c r="T116" s="1">
        <v>2.8000000000000001E-2</v>
      </c>
      <c r="U116" s="1">
        <v>4.2000000000000003E-2</v>
      </c>
      <c r="V116" s="1">
        <v>0.01</v>
      </c>
      <c r="W116" s="1">
        <v>0.02</v>
      </c>
      <c r="X116" s="1">
        <v>0</v>
      </c>
      <c r="Y116" s="1">
        <v>2E-3</v>
      </c>
      <c r="Z116" s="1">
        <v>0.496</v>
      </c>
      <c r="AA116" s="1">
        <v>0.53500000000000003</v>
      </c>
      <c r="AB116" s="1">
        <v>6.8000000000000005E-2</v>
      </c>
      <c r="AC116" s="1">
        <v>8.8999999999999996E-2</v>
      </c>
      <c r="AD116" s="1">
        <v>3.0000000000000001E-3</v>
      </c>
      <c r="AE116" s="1">
        <v>8.0000000000000002E-3</v>
      </c>
    </row>
    <row r="117" spans="1:31" x14ac:dyDescent="0.25">
      <c r="A117" t="str">
        <f>B117&amp;VLOOKUP(D117, Lookups!$E$2:$F$8,2,FALSE)&amp;C117</f>
        <v>SCLCGP referral0</v>
      </c>
      <c r="B117" t="s">
        <v>20</v>
      </c>
      <c r="C117">
        <v>0</v>
      </c>
      <c r="D117" t="s">
        <v>2</v>
      </c>
      <c r="E117" s="1">
        <v>3.9001560062402497E-3</v>
      </c>
      <c r="F117" s="1">
        <v>0.27925117004680189</v>
      </c>
      <c r="G117" s="1">
        <v>5.1482059282371297E-2</v>
      </c>
      <c r="H117" s="1">
        <v>1.3260530421216849E-2</v>
      </c>
      <c r="I117" s="1">
        <v>7.8003120124804995E-4</v>
      </c>
      <c r="J117" s="1">
        <v>0.41341653666146644</v>
      </c>
      <c r="K117" s="1">
        <v>0.23322932917316694</v>
      </c>
      <c r="L117" s="1">
        <v>4.6801872074882997E-3</v>
      </c>
      <c r="M117" s="1">
        <v>1</v>
      </c>
      <c r="N117" s="2">
        <v>1282</v>
      </c>
      <c r="P117" s="1">
        <v>2E-3</v>
      </c>
      <c r="Q117" s="1">
        <v>8.9999999999999993E-3</v>
      </c>
      <c r="R117" s="1">
        <v>0.255</v>
      </c>
      <c r="S117" s="1">
        <v>0.30399999999999999</v>
      </c>
      <c r="T117" s="1">
        <v>4.1000000000000002E-2</v>
      </c>
      <c r="U117" s="1">
        <v>6.5000000000000002E-2</v>
      </c>
      <c r="V117" s="1">
        <v>8.0000000000000002E-3</v>
      </c>
      <c r="W117" s="1">
        <v>2.1000000000000001E-2</v>
      </c>
      <c r="X117" s="1">
        <v>0</v>
      </c>
      <c r="Y117" s="1">
        <v>4.0000000000000001E-3</v>
      </c>
      <c r="Z117" s="1">
        <v>0.38700000000000001</v>
      </c>
      <c r="AA117" s="1">
        <v>0.441</v>
      </c>
      <c r="AB117" s="1">
        <v>0.21099999999999999</v>
      </c>
      <c r="AC117" s="1">
        <v>0.25700000000000001</v>
      </c>
      <c r="AD117" s="1">
        <v>2E-3</v>
      </c>
      <c r="AE117" s="1">
        <v>0.01</v>
      </c>
    </row>
    <row r="118" spans="1:31" x14ac:dyDescent="0.25">
      <c r="A118" t="str">
        <f>B118&amp;VLOOKUP(D118, Lookups!$E$2:$F$8,2,FALSE)&amp;C118</f>
        <v>SCLCIP &amp; OP0</v>
      </c>
      <c r="B118" t="s">
        <v>20</v>
      </c>
      <c r="C118">
        <v>0</v>
      </c>
      <c r="D118" t="s">
        <v>32</v>
      </c>
      <c r="E118" s="1">
        <v>8.948545861297539E-3</v>
      </c>
      <c r="F118" s="1">
        <v>0.29306487695749439</v>
      </c>
      <c r="G118" s="1">
        <v>5.8165548098434001E-2</v>
      </c>
      <c r="H118" s="1">
        <v>1.7897091722595078E-2</v>
      </c>
      <c r="I118" s="1">
        <v>0</v>
      </c>
      <c r="J118" s="1">
        <v>0.43064876957494408</v>
      </c>
      <c r="K118" s="1">
        <v>0.18456375838926176</v>
      </c>
      <c r="L118" s="1">
        <v>6.7114093959731542E-3</v>
      </c>
      <c r="M118" s="1">
        <v>1</v>
      </c>
      <c r="N118" s="2">
        <v>894</v>
      </c>
      <c r="P118" s="1">
        <v>5.0000000000000001E-3</v>
      </c>
      <c r="Q118" s="1">
        <v>1.7999999999999999E-2</v>
      </c>
      <c r="R118" s="1">
        <v>0.26400000000000001</v>
      </c>
      <c r="S118" s="1">
        <v>0.32400000000000001</v>
      </c>
      <c r="T118" s="1">
        <v>4.4999999999999998E-2</v>
      </c>
      <c r="U118" s="1">
        <v>7.4999999999999997E-2</v>
      </c>
      <c r="V118" s="1">
        <v>1.0999999999999999E-2</v>
      </c>
      <c r="W118" s="1">
        <v>2.9000000000000001E-2</v>
      </c>
      <c r="X118" s="1">
        <v>0</v>
      </c>
      <c r="Y118" s="1">
        <v>4.0000000000000001E-3</v>
      </c>
      <c r="Z118" s="1">
        <v>0.39900000000000002</v>
      </c>
      <c r="AA118" s="1">
        <v>0.46300000000000002</v>
      </c>
      <c r="AB118" s="1">
        <v>0.161</v>
      </c>
      <c r="AC118" s="1">
        <v>0.21099999999999999</v>
      </c>
      <c r="AD118" s="1">
        <v>3.0000000000000001E-3</v>
      </c>
      <c r="AE118" s="1">
        <v>1.4999999999999999E-2</v>
      </c>
    </row>
    <row r="119" spans="1:31" x14ac:dyDescent="0.25">
      <c r="A119" t="str">
        <f>B119&amp;VLOOKUP(D119, Lookups!$E$2:$F$8,2,FALSE)&amp;C119</f>
        <v>SCLCEmergency presentation0</v>
      </c>
      <c r="B119" t="s">
        <v>20</v>
      </c>
      <c r="C119">
        <v>0</v>
      </c>
      <c r="D119" t="s">
        <v>33</v>
      </c>
      <c r="E119" s="1">
        <v>1.2987012987012987E-3</v>
      </c>
      <c r="F119" s="1">
        <v>0.287012987012987</v>
      </c>
      <c r="G119" s="1">
        <v>6.1038961038961038E-2</v>
      </c>
      <c r="H119" s="1">
        <v>1.7316017316017316E-3</v>
      </c>
      <c r="I119" s="1">
        <v>4.329004329004329E-4</v>
      </c>
      <c r="J119" s="1">
        <v>0.2766233766233766</v>
      </c>
      <c r="K119" s="1">
        <v>0.37099567099567099</v>
      </c>
      <c r="L119" s="1">
        <v>8.658008658008658E-4</v>
      </c>
      <c r="M119" s="1">
        <v>1</v>
      </c>
      <c r="N119" s="2">
        <v>2310</v>
      </c>
      <c r="P119" s="1">
        <v>0</v>
      </c>
      <c r="Q119" s="1">
        <v>4.0000000000000001E-3</v>
      </c>
      <c r="R119" s="1">
        <v>0.26900000000000002</v>
      </c>
      <c r="S119" s="1">
        <v>0.30599999999999999</v>
      </c>
      <c r="T119" s="1">
        <v>5.1999999999999998E-2</v>
      </c>
      <c r="U119" s="1">
        <v>7.1999999999999995E-2</v>
      </c>
      <c r="V119" s="1">
        <v>1E-3</v>
      </c>
      <c r="W119" s="1">
        <v>4.0000000000000001E-3</v>
      </c>
      <c r="X119" s="1">
        <v>0</v>
      </c>
      <c r="Y119" s="1">
        <v>2E-3</v>
      </c>
      <c r="Z119" s="1">
        <v>0.25900000000000001</v>
      </c>
      <c r="AA119" s="1">
        <v>0.29499999999999998</v>
      </c>
      <c r="AB119" s="1">
        <v>0.35199999999999998</v>
      </c>
      <c r="AC119" s="1">
        <v>0.39100000000000001</v>
      </c>
      <c r="AD119" s="1">
        <v>0</v>
      </c>
      <c r="AE119" s="1">
        <v>3.0000000000000001E-3</v>
      </c>
    </row>
    <row r="120" spans="1:31" x14ac:dyDescent="0.25">
      <c r="A120" t="str">
        <f>B120&amp;VLOOKUP(D120, Lookups!$E$2:$F$8,2,FALSE)&amp;C120</f>
        <v>SCLCUnknown0</v>
      </c>
      <c r="B120" t="s">
        <v>20</v>
      </c>
      <c r="C120">
        <v>0</v>
      </c>
      <c r="D120" t="s">
        <v>4</v>
      </c>
      <c r="E120" s="1">
        <v>1.7094017094017096E-2</v>
      </c>
      <c r="F120" s="1">
        <v>0.19658119658119658</v>
      </c>
      <c r="G120" s="1">
        <v>8.5470085470085472E-2</v>
      </c>
      <c r="H120" s="1">
        <v>8.5470085470085479E-3</v>
      </c>
      <c r="I120" s="1" t="s">
        <v>137</v>
      </c>
      <c r="J120" s="1">
        <v>0.19658119658119658</v>
      </c>
      <c r="K120" s="1">
        <v>0.49572649572649574</v>
      </c>
      <c r="L120" s="1" t="s">
        <v>137</v>
      </c>
      <c r="M120" s="1">
        <v>1</v>
      </c>
      <c r="N120" s="2">
        <v>117</v>
      </c>
      <c r="P120" s="1">
        <v>5.0000000000000001E-3</v>
      </c>
      <c r="Q120" s="1">
        <v>0.06</v>
      </c>
      <c r="R120" s="1">
        <v>0.13500000000000001</v>
      </c>
      <c r="S120" s="1">
        <v>0.27800000000000002</v>
      </c>
      <c r="T120" s="1">
        <v>4.7E-2</v>
      </c>
      <c r="U120" s="1">
        <v>0.15</v>
      </c>
      <c r="V120" s="1">
        <v>2E-3</v>
      </c>
      <c r="W120" s="1">
        <v>4.7E-2</v>
      </c>
      <c r="X120" s="1"/>
      <c r="Y120" s="1"/>
      <c r="Z120" s="1">
        <v>0.13500000000000001</v>
      </c>
      <c r="AA120" s="1">
        <v>0.27800000000000002</v>
      </c>
      <c r="AB120" s="1">
        <v>0.40699999999999997</v>
      </c>
      <c r="AC120" s="1">
        <v>0.58499999999999996</v>
      </c>
      <c r="AD120" s="1"/>
      <c r="AE120" s="1"/>
    </row>
    <row r="121" spans="1:31" x14ac:dyDescent="0.25">
      <c r="A121" t="str">
        <f>B121&amp;VLOOKUP(D121, Lookups!$E$2:$F$8,2,FALSE)&amp;C121</f>
        <v>SCLCAll Routes0</v>
      </c>
      <c r="B121" t="s">
        <v>20</v>
      </c>
      <c r="C121">
        <v>0</v>
      </c>
      <c r="D121" t="s">
        <v>34</v>
      </c>
      <c r="E121" s="1">
        <v>4.9019607843137254E-3</v>
      </c>
      <c r="F121" s="1">
        <v>0.30616246498599442</v>
      </c>
      <c r="G121" s="1">
        <v>4.985994397759104E-2</v>
      </c>
      <c r="H121" s="1">
        <v>1.0364145658263305E-2</v>
      </c>
      <c r="I121" s="1">
        <v>4.2016806722689078E-4</v>
      </c>
      <c r="J121" s="1">
        <v>0.40392156862745099</v>
      </c>
      <c r="K121" s="1">
        <v>0.2207282913165266</v>
      </c>
      <c r="L121" s="1">
        <v>3.6414565826330533E-3</v>
      </c>
      <c r="M121" s="1">
        <v>1</v>
      </c>
      <c r="N121" s="2">
        <v>7140</v>
      </c>
      <c r="P121" s="1">
        <v>4.0000000000000001E-3</v>
      </c>
      <c r="Q121" s="1">
        <v>7.0000000000000001E-3</v>
      </c>
      <c r="R121" s="1">
        <v>0.29599999999999999</v>
      </c>
      <c r="S121" s="1">
        <v>0.317</v>
      </c>
      <c r="T121" s="1">
        <v>4.4999999999999998E-2</v>
      </c>
      <c r="U121" s="1">
        <v>5.5E-2</v>
      </c>
      <c r="V121" s="1">
        <v>8.0000000000000002E-3</v>
      </c>
      <c r="W121" s="1">
        <v>1.2999999999999999E-2</v>
      </c>
      <c r="X121" s="1">
        <v>0</v>
      </c>
      <c r="Y121" s="1">
        <v>1E-3</v>
      </c>
      <c r="Z121" s="1">
        <v>0.39300000000000002</v>
      </c>
      <c r="AA121" s="1">
        <v>0.41499999999999998</v>
      </c>
      <c r="AB121" s="1">
        <v>0.21099999999999999</v>
      </c>
      <c r="AC121" s="1">
        <v>0.23</v>
      </c>
      <c r="AD121" s="1">
        <v>2E-3</v>
      </c>
      <c r="AE121" s="1">
        <v>5.0000000000000001E-3</v>
      </c>
    </row>
    <row r="122" spans="1:31" x14ac:dyDescent="0.25">
      <c r="A122" t="str">
        <f>B122&amp;VLOOKUP(D122, Lookups!$E$2:$F$8,2,FALSE)&amp;C122</f>
        <v>SCLCScreen detected1</v>
      </c>
      <c r="B122" t="s">
        <v>20</v>
      </c>
      <c r="C122">
        <v>1</v>
      </c>
      <c r="D122" t="s">
        <v>30</v>
      </c>
      <c r="E122" s="1" t="s">
        <v>137</v>
      </c>
      <c r="F122" s="1" t="s">
        <v>137</v>
      </c>
      <c r="G122" s="1" t="s">
        <v>137</v>
      </c>
      <c r="H122" s="1" t="s">
        <v>137</v>
      </c>
      <c r="I122" s="1" t="s">
        <v>137</v>
      </c>
      <c r="J122" s="1" t="s">
        <v>137</v>
      </c>
      <c r="K122" s="1" t="s">
        <v>137</v>
      </c>
      <c r="L122" s="1" t="s">
        <v>137</v>
      </c>
      <c r="M122" s="1">
        <v>0</v>
      </c>
      <c r="N122" s="2">
        <v>0</v>
      </c>
      <c r="P122" s="1"/>
      <c r="Q122" s="1"/>
      <c r="R122" s="1"/>
      <c r="S122" s="1"/>
      <c r="T122" s="1"/>
      <c r="U122" s="1"/>
      <c r="V122" s="1"/>
      <c r="W122" s="1"/>
      <c r="X122" s="1"/>
      <c r="Y122" s="1"/>
      <c r="Z122" s="1"/>
      <c r="AA122" s="1"/>
      <c r="AB122" s="1"/>
      <c r="AC122" s="1"/>
      <c r="AD122" s="1"/>
      <c r="AE122" s="1"/>
    </row>
    <row r="123" spans="1:31" x14ac:dyDescent="0.25">
      <c r="A123" t="str">
        <f>B123&amp;VLOOKUP(D123, Lookups!$E$2:$F$8,2,FALSE)&amp;C123</f>
        <v>SCLCTwo Week Wait1</v>
      </c>
      <c r="B123" t="s">
        <v>20</v>
      </c>
      <c r="C123">
        <v>1</v>
      </c>
      <c r="D123" t="s">
        <v>31</v>
      </c>
      <c r="E123" s="1">
        <v>4.5801526717557254E-3</v>
      </c>
      <c r="F123" s="1">
        <v>0.35725190839694654</v>
      </c>
      <c r="G123" s="1">
        <v>3.3587786259541987E-2</v>
      </c>
      <c r="H123" s="1">
        <v>1.6793893129770993E-2</v>
      </c>
      <c r="I123" s="1">
        <v>0</v>
      </c>
      <c r="J123" s="1">
        <v>0.45648854961832064</v>
      </c>
      <c r="K123" s="1">
        <v>0.12671755725190839</v>
      </c>
      <c r="L123" s="1">
        <v>4.5801526717557254E-3</v>
      </c>
      <c r="M123" s="1">
        <v>1</v>
      </c>
      <c r="N123" s="2">
        <v>655</v>
      </c>
      <c r="P123" s="1">
        <v>2E-3</v>
      </c>
      <c r="Q123" s="1">
        <v>1.2999999999999999E-2</v>
      </c>
      <c r="R123" s="1">
        <v>0.32100000000000001</v>
      </c>
      <c r="S123" s="1">
        <v>0.39500000000000002</v>
      </c>
      <c r="T123" s="1">
        <v>2.1999999999999999E-2</v>
      </c>
      <c r="U123" s="1">
        <v>0.05</v>
      </c>
      <c r="V123" s="1">
        <v>8.9999999999999993E-3</v>
      </c>
      <c r="W123" s="1">
        <v>0.03</v>
      </c>
      <c r="X123" s="1">
        <v>0</v>
      </c>
      <c r="Y123" s="1">
        <v>6.0000000000000001E-3</v>
      </c>
      <c r="Z123" s="1">
        <v>0.41899999999999998</v>
      </c>
      <c r="AA123" s="1">
        <v>0.495</v>
      </c>
      <c r="AB123" s="1">
        <v>0.10299999999999999</v>
      </c>
      <c r="AC123" s="1">
        <v>0.154</v>
      </c>
      <c r="AD123" s="1">
        <v>2E-3</v>
      </c>
      <c r="AE123" s="1">
        <v>1.2999999999999999E-2</v>
      </c>
    </row>
    <row r="124" spans="1:31" x14ac:dyDescent="0.25">
      <c r="A124" t="str">
        <f>B124&amp;VLOOKUP(D124, Lookups!$E$2:$F$8,2,FALSE)&amp;C124</f>
        <v>SCLCGP referral1</v>
      </c>
      <c r="B124" t="s">
        <v>20</v>
      </c>
      <c r="C124">
        <v>1</v>
      </c>
      <c r="D124" t="s">
        <v>2</v>
      </c>
      <c r="E124" s="1">
        <v>4.7169811320754715E-3</v>
      </c>
      <c r="F124" s="1">
        <v>0.31603773584905659</v>
      </c>
      <c r="G124" s="1">
        <v>8.0188679245283015E-2</v>
      </c>
      <c r="H124" s="1">
        <v>1.6509433962264151E-2</v>
      </c>
      <c r="I124" s="1">
        <v>0</v>
      </c>
      <c r="J124" s="1">
        <v>0.33490566037735847</v>
      </c>
      <c r="K124" s="1">
        <v>0.24292452830188679</v>
      </c>
      <c r="L124" s="1">
        <v>4.7169811320754715E-3</v>
      </c>
      <c r="M124" s="1">
        <v>1</v>
      </c>
      <c r="N124" s="2">
        <v>424</v>
      </c>
      <c r="P124" s="1">
        <v>1E-3</v>
      </c>
      <c r="Q124" s="1">
        <v>1.7000000000000001E-2</v>
      </c>
      <c r="R124" s="1">
        <v>0.27400000000000002</v>
      </c>
      <c r="S124" s="1">
        <v>0.36199999999999999</v>
      </c>
      <c r="T124" s="1">
        <v>5.8000000000000003E-2</v>
      </c>
      <c r="U124" s="1">
        <v>0.11</v>
      </c>
      <c r="V124" s="1">
        <v>8.0000000000000002E-3</v>
      </c>
      <c r="W124" s="1">
        <v>3.4000000000000002E-2</v>
      </c>
      <c r="X124" s="1">
        <v>0</v>
      </c>
      <c r="Y124" s="1">
        <v>8.9999999999999993E-3</v>
      </c>
      <c r="Z124" s="1">
        <v>0.29199999999999998</v>
      </c>
      <c r="AA124" s="1">
        <v>0.38100000000000001</v>
      </c>
      <c r="AB124" s="1">
        <v>0.20499999999999999</v>
      </c>
      <c r="AC124" s="1">
        <v>0.28599999999999998</v>
      </c>
      <c r="AD124" s="1">
        <v>1E-3</v>
      </c>
      <c r="AE124" s="1">
        <v>1.7000000000000001E-2</v>
      </c>
    </row>
    <row r="125" spans="1:31" x14ac:dyDescent="0.25">
      <c r="A125" t="str">
        <f>B125&amp;VLOOKUP(D125, Lookups!$E$2:$F$8,2,FALSE)&amp;C125</f>
        <v>SCLCIP &amp; OP1</v>
      </c>
      <c r="B125" t="s">
        <v>20</v>
      </c>
      <c r="C125">
        <v>1</v>
      </c>
      <c r="D125" t="s">
        <v>32</v>
      </c>
      <c r="E125" s="1">
        <v>1.8050541516245487E-2</v>
      </c>
      <c r="F125" s="1">
        <v>0.29963898916967507</v>
      </c>
      <c r="G125" s="1">
        <v>5.7761732851985562E-2</v>
      </c>
      <c r="H125" s="1">
        <v>1.0830324909747292E-2</v>
      </c>
      <c r="I125" s="1">
        <v>0</v>
      </c>
      <c r="J125" s="1">
        <v>0.33574007220216606</v>
      </c>
      <c r="K125" s="1">
        <v>0.27075812274368233</v>
      </c>
      <c r="L125" s="1">
        <v>7.2202166064981952E-3</v>
      </c>
      <c r="M125" s="1">
        <v>0.99999999999999989</v>
      </c>
      <c r="N125" s="2">
        <v>277</v>
      </c>
      <c r="P125" s="1">
        <v>8.0000000000000002E-3</v>
      </c>
      <c r="Q125" s="1">
        <v>4.2000000000000003E-2</v>
      </c>
      <c r="R125" s="1">
        <v>0.249</v>
      </c>
      <c r="S125" s="1">
        <v>0.35599999999999998</v>
      </c>
      <c r="T125" s="1">
        <v>3.5999999999999997E-2</v>
      </c>
      <c r="U125" s="1">
        <v>9.1999999999999998E-2</v>
      </c>
      <c r="V125" s="1">
        <v>4.0000000000000001E-3</v>
      </c>
      <c r="W125" s="1">
        <v>3.1E-2</v>
      </c>
      <c r="X125" s="1">
        <v>0</v>
      </c>
      <c r="Y125" s="1">
        <v>1.4E-2</v>
      </c>
      <c r="Z125" s="1">
        <v>0.28299999999999997</v>
      </c>
      <c r="AA125" s="1">
        <v>0.39300000000000002</v>
      </c>
      <c r="AB125" s="1">
        <v>0.222</v>
      </c>
      <c r="AC125" s="1">
        <v>0.32600000000000001</v>
      </c>
      <c r="AD125" s="1">
        <v>2E-3</v>
      </c>
      <c r="AE125" s="1">
        <v>2.5999999999999999E-2</v>
      </c>
    </row>
    <row r="126" spans="1:31" x14ac:dyDescent="0.25">
      <c r="A126" t="str">
        <f>B126&amp;VLOOKUP(D126, Lookups!$E$2:$F$8,2,FALSE)&amp;C126</f>
        <v>SCLCEmergency presentation1</v>
      </c>
      <c r="B126" t="s">
        <v>20</v>
      </c>
      <c r="C126">
        <v>1</v>
      </c>
      <c r="D126" t="s">
        <v>33</v>
      </c>
      <c r="E126" s="1">
        <v>4.0268456375838931E-3</v>
      </c>
      <c r="F126" s="1">
        <v>0.25771812080536916</v>
      </c>
      <c r="G126" s="1">
        <v>4.5637583892617448E-2</v>
      </c>
      <c r="H126" s="1">
        <v>1.3422818791946308E-3</v>
      </c>
      <c r="I126" s="1">
        <v>0</v>
      </c>
      <c r="J126" s="1">
        <v>0.21476510067114093</v>
      </c>
      <c r="K126" s="1">
        <v>0.47516778523489933</v>
      </c>
      <c r="L126" s="1">
        <v>1.3422818791946308E-3</v>
      </c>
      <c r="M126" s="1">
        <v>1</v>
      </c>
      <c r="N126" s="2">
        <v>745</v>
      </c>
      <c r="P126" s="1">
        <v>1E-3</v>
      </c>
      <c r="Q126" s="1">
        <v>1.2E-2</v>
      </c>
      <c r="R126" s="1">
        <v>0.22800000000000001</v>
      </c>
      <c r="S126" s="1">
        <v>0.28999999999999998</v>
      </c>
      <c r="T126" s="1">
        <v>3.3000000000000002E-2</v>
      </c>
      <c r="U126" s="1">
        <v>6.3E-2</v>
      </c>
      <c r="V126" s="1">
        <v>0</v>
      </c>
      <c r="W126" s="1">
        <v>8.0000000000000002E-3</v>
      </c>
      <c r="X126" s="1">
        <v>0</v>
      </c>
      <c r="Y126" s="1">
        <v>5.0000000000000001E-3</v>
      </c>
      <c r="Z126" s="1">
        <v>0.187</v>
      </c>
      <c r="AA126" s="1">
        <v>0.246</v>
      </c>
      <c r="AB126" s="1">
        <v>0.44</v>
      </c>
      <c r="AC126" s="1">
        <v>0.51100000000000001</v>
      </c>
      <c r="AD126" s="1">
        <v>0</v>
      </c>
      <c r="AE126" s="1">
        <v>8.0000000000000002E-3</v>
      </c>
    </row>
    <row r="127" spans="1:31" x14ac:dyDescent="0.25">
      <c r="A127" t="str">
        <f>B127&amp;VLOOKUP(D127, Lookups!$E$2:$F$8,2,FALSE)&amp;C127</f>
        <v>SCLCUnknown1</v>
      </c>
      <c r="B127" t="s">
        <v>20</v>
      </c>
      <c r="C127">
        <v>1</v>
      </c>
      <c r="D127" t="s">
        <v>4</v>
      </c>
      <c r="E127" s="1">
        <v>7.1428571428571425E-2</v>
      </c>
      <c r="F127" s="1">
        <v>0.2857142857142857</v>
      </c>
      <c r="G127" s="1">
        <v>0</v>
      </c>
      <c r="H127" s="1">
        <v>0</v>
      </c>
      <c r="I127" s="1" t="s">
        <v>137</v>
      </c>
      <c r="J127" s="1">
        <v>0</v>
      </c>
      <c r="K127" s="1">
        <v>0.6428571428571429</v>
      </c>
      <c r="L127" s="1" t="s">
        <v>137</v>
      </c>
      <c r="M127" s="1">
        <v>1</v>
      </c>
      <c r="N127" s="2">
        <v>14</v>
      </c>
      <c r="P127" s="1">
        <v>1.2999999999999999E-2</v>
      </c>
      <c r="Q127" s="1">
        <v>0.315</v>
      </c>
      <c r="R127" s="1">
        <v>0.11700000000000001</v>
      </c>
      <c r="S127" s="1">
        <v>0.54600000000000004</v>
      </c>
      <c r="T127" s="1">
        <v>0</v>
      </c>
      <c r="U127" s="1">
        <v>0.215</v>
      </c>
      <c r="V127" s="1">
        <v>0</v>
      </c>
      <c r="W127" s="1">
        <v>0.215</v>
      </c>
      <c r="X127" s="1"/>
      <c r="Y127" s="1"/>
      <c r="Z127" s="1">
        <v>0</v>
      </c>
      <c r="AA127" s="1">
        <v>0.215</v>
      </c>
      <c r="AB127" s="1">
        <v>0.38800000000000001</v>
      </c>
      <c r="AC127" s="1">
        <v>0.83699999999999997</v>
      </c>
      <c r="AD127" s="1"/>
      <c r="AE127" s="1"/>
    </row>
    <row r="128" spans="1:31" x14ac:dyDescent="0.25">
      <c r="A128" t="str">
        <f>B128&amp;VLOOKUP(D128, Lookups!$E$2:$F$8,2,FALSE)&amp;C128</f>
        <v>SCLCAll Routes1</v>
      </c>
      <c r="B128" t="s">
        <v>20</v>
      </c>
      <c r="C128">
        <v>1</v>
      </c>
      <c r="D128" t="s">
        <v>34</v>
      </c>
      <c r="E128" s="1">
        <v>6.6193853427895981E-3</v>
      </c>
      <c r="F128" s="1">
        <v>0.30591016548463357</v>
      </c>
      <c r="G128" s="1">
        <v>5.0118203309692674E-2</v>
      </c>
      <c r="H128" s="1">
        <v>1.0401891252955082E-2</v>
      </c>
      <c r="I128" s="1">
        <v>0</v>
      </c>
      <c r="J128" s="1">
        <v>0.32813238770685577</v>
      </c>
      <c r="K128" s="1">
        <v>0.29503546099290778</v>
      </c>
      <c r="L128" s="1">
        <v>3.7825059101654845E-3</v>
      </c>
      <c r="M128" s="1">
        <v>1</v>
      </c>
      <c r="N128" s="2">
        <v>2115</v>
      </c>
      <c r="P128" s="1">
        <v>4.0000000000000001E-3</v>
      </c>
      <c r="Q128" s="1">
        <v>1.0999999999999999E-2</v>
      </c>
      <c r="R128" s="1">
        <v>0.28699999999999998</v>
      </c>
      <c r="S128" s="1">
        <v>0.32600000000000001</v>
      </c>
      <c r="T128" s="1">
        <v>4.2000000000000003E-2</v>
      </c>
      <c r="U128" s="1">
        <v>0.06</v>
      </c>
      <c r="V128" s="1">
        <v>7.0000000000000001E-3</v>
      </c>
      <c r="W128" s="1">
        <v>1.6E-2</v>
      </c>
      <c r="X128" s="1">
        <v>0</v>
      </c>
      <c r="Y128" s="1">
        <v>2E-3</v>
      </c>
      <c r="Z128" s="1">
        <v>0.308</v>
      </c>
      <c r="AA128" s="1">
        <v>0.34799999999999998</v>
      </c>
      <c r="AB128" s="1">
        <v>0.27600000000000002</v>
      </c>
      <c r="AC128" s="1">
        <v>0.315</v>
      </c>
      <c r="AD128" s="1">
        <v>2E-3</v>
      </c>
      <c r="AE128" s="1">
        <v>7.0000000000000001E-3</v>
      </c>
    </row>
    <row r="129" spans="1:31" x14ac:dyDescent="0.25">
      <c r="A129" t="str">
        <f>B129&amp;VLOOKUP(D129, Lookups!$E$2:$F$8,2,FALSE)&amp;C129</f>
        <v>SCLCScreen detected2</v>
      </c>
      <c r="B129" t="s">
        <v>20</v>
      </c>
      <c r="C129">
        <v>2</v>
      </c>
      <c r="D129" t="s">
        <v>30</v>
      </c>
      <c r="E129" s="1" t="s">
        <v>137</v>
      </c>
      <c r="F129" s="1" t="s">
        <v>137</v>
      </c>
      <c r="G129" s="1" t="s">
        <v>137</v>
      </c>
      <c r="H129" s="1" t="s">
        <v>137</v>
      </c>
      <c r="I129" s="1" t="s">
        <v>137</v>
      </c>
      <c r="J129" s="1" t="s">
        <v>137</v>
      </c>
      <c r="K129" s="1" t="s">
        <v>137</v>
      </c>
      <c r="L129" s="1" t="s">
        <v>137</v>
      </c>
      <c r="M129" s="1">
        <v>0</v>
      </c>
      <c r="N129" s="2">
        <v>0</v>
      </c>
      <c r="P129" s="1"/>
      <c r="Q129" s="1"/>
      <c r="R129" s="1"/>
      <c r="S129" s="1"/>
      <c r="T129" s="1"/>
      <c r="U129" s="1"/>
      <c r="V129" s="1"/>
      <c r="W129" s="1"/>
      <c r="X129" s="1"/>
      <c r="Y129" s="1"/>
      <c r="Z129" s="1"/>
      <c r="AA129" s="1"/>
      <c r="AB129" s="1"/>
      <c r="AC129" s="1"/>
      <c r="AD129" s="1"/>
      <c r="AE129" s="1"/>
    </row>
    <row r="130" spans="1:31" x14ac:dyDescent="0.25">
      <c r="A130" t="str">
        <f>B130&amp;VLOOKUP(D130, Lookups!$E$2:$F$8,2,FALSE)&amp;C130</f>
        <v>SCLCTwo Week Wait2</v>
      </c>
      <c r="B130" t="s">
        <v>20</v>
      </c>
      <c r="C130">
        <v>2</v>
      </c>
      <c r="D130" t="s">
        <v>31</v>
      </c>
      <c r="E130" s="1">
        <v>5.8651026392961877E-3</v>
      </c>
      <c r="F130" s="1">
        <v>0.41348973607038125</v>
      </c>
      <c r="G130" s="1">
        <v>5.5718475073313782E-2</v>
      </c>
      <c r="H130" s="1">
        <v>8.7976539589442824E-3</v>
      </c>
      <c r="I130" s="1">
        <v>2.9325513196480938E-3</v>
      </c>
      <c r="J130" s="1">
        <v>0.36363636363636365</v>
      </c>
      <c r="K130" s="1">
        <v>0.1466275659824047</v>
      </c>
      <c r="L130" s="1">
        <v>2.9325513196480938E-3</v>
      </c>
      <c r="M130" s="1">
        <v>1</v>
      </c>
      <c r="N130" s="2">
        <v>341</v>
      </c>
      <c r="P130" s="1">
        <v>2E-3</v>
      </c>
      <c r="Q130" s="1">
        <v>2.1000000000000001E-2</v>
      </c>
      <c r="R130" s="1">
        <v>0.36199999999999999</v>
      </c>
      <c r="S130" s="1">
        <v>0.46600000000000003</v>
      </c>
      <c r="T130" s="1">
        <v>3.5999999999999997E-2</v>
      </c>
      <c r="U130" s="1">
        <v>8.5000000000000006E-2</v>
      </c>
      <c r="V130" s="1">
        <v>3.0000000000000001E-3</v>
      </c>
      <c r="W130" s="1">
        <v>2.5999999999999999E-2</v>
      </c>
      <c r="X130" s="1">
        <v>1E-3</v>
      </c>
      <c r="Y130" s="1">
        <v>1.6E-2</v>
      </c>
      <c r="Z130" s="1">
        <v>0.314</v>
      </c>
      <c r="AA130" s="1">
        <v>0.41599999999999998</v>
      </c>
      <c r="AB130" s="1">
        <v>0.113</v>
      </c>
      <c r="AC130" s="1">
        <v>0.188</v>
      </c>
      <c r="AD130" s="1">
        <v>1E-3</v>
      </c>
      <c r="AE130" s="1">
        <v>1.6E-2</v>
      </c>
    </row>
    <row r="131" spans="1:31" x14ac:dyDescent="0.25">
      <c r="A131" t="str">
        <f>B131&amp;VLOOKUP(D131, Lookups!$E$2:$F$8,2,FALSE)&amp;C131</f>
        <v>SCLCGP referral2</v>
      </c>
      <c r="B131" t="s">
        <v>20</v>
      </c>
      <c r="C131">
        <v>2</v>
      </c>
      <c r="D131" t="s">
        <v>2</v>
      </c>
      <c r="E131" s="1">
        <v>1.3422818791946308E-2</v>
      </c>
      <c r="F131" s="1">
        <v>0.27516778523489932</v>
      </c>
      <c r="G131" s="1">
        <v>7.0469798657718116E-2</v>
      </c>
      <c r="H131" s="1">
        <v>2.6845637583892617E-2</v>
      </c>
      <c r="I131" s="1">
        <v>0</v>
      </c>
      <c r="J131" s="1">
        <v>0.31879194630872482</v>
      </c>
      <c r="K131" s="1">
        <v>0.28859060402684567</v>
      </c>
      <c r="L131" s="1">
        <v>6.7114093959731542E-3</v>
      </c>
      <c r="M131" s="1">
        <v>1</v>
      </c>
      <c r="N131" s="2">
        <v>298</v>
      </c>
      <c r="P131" s="1">
        <v>5.0000000000000001E-3</v>
      </c>
      <c r="Q131" s="1">
        <v>3.4000000000000002E-2</v>
      </c>
      <c r="R131" s="1">
        <v>0.22800000000000001</v>
      </c>
      <c r="S131" s="1">
        <v>0.32800000000000001</v>
      </c>
      <c r="T131" s="1">
        <v>4.7E-2</v>
      </c>
      <c r="U131" s="1">
        <v>0.105</v>
      </c>
      <c r="V131" s="1">
        <v>1.4E-2</v>
      </c>
      <c r="W131" s="1">
        <v>5.1999999999999998E-2</v>
      </c>
      <c r="X131" s="1">
        <v>0</v>
      </c>
      <c r="Y131" s="1">
        <v>1.2999999999999999E-2</v>
      </c>
      <c r="Z131" s="1">
        <v>0.26800000000000002</v>
      </c>
      <c r="AA131" s="1">
        <v>0.374</v>
      </c>
      <c r="AB131" s="1">
        <v>0.24</v>
      </c>
      <c r="AC131" s="1">
        <v>0.34200000000000003</v>
      </c>
      <c r="AD131" s="1">
        <v>2E-3</v>
      </c>
      <c r="AE131" s="1">
        <v>2.4E-2</v>
      </c>
    </row>
    <row r="132" spans="1:31" x14ac:dyDescent="0.25">
      <c r="A132" t="str">
        <f>B132&amp;VLOOKUP(D132, Lookups!$E$2:$F$8,2,FALSE)&amp;C132</f>
        <v>SCLCIP &amp; OP2</v>
      </c>
      <c r="B132" t="s">
        <v>20</v>
      </c>
      <c r="C132">
        <v>2</v>
      </c>
      <c r="D132" t="s">
        <v>32</v>
      </c>
      <c r="E132" s="1">
        <v>2.1390374331550801E-2</v>
      </c>
      <c r="F132" s="1">
        <v>0.31016042780748665</v>
      </c>
      <c r="G132" s="1">
        <v>5.3475935828877004E-2</v>
      </c>
      <c r="H132" s="1">
        <v>2.6737967914438502E-2</v>
      </c>
      <c r="I132" s="1">
        <v>5.3475935828877002E-3</v>
      </c>
      <c r="J132" s="1">
        <v>0.36898395721925131</v>
      </c>
      <c r="K132" s="1">
        <v>0.20855614973262032</v>
      </c>
      <c r="L132" s="1">
        <v>5.3475935828877002E-3</v>
      </c>
      <c r="M132" s="1">
        <v>1</v>
      </c>
      <c r="N132" s="2">
        <v>187</v>
      </c>
      <c r="P132" s="1">
        <v>8.0000000000000002E-3</v>
      </c>
      <c r="Q132" s="1">
        <v>5.3999999999999999E-2</v>
      </c>
      <c r="R132" s="1">
        <v>0.248</v>
      </c>
      <c r="S132" s="1">
        <v>0.38</v>
      </c>
      <c r="T132" s="1">
        <v>2.9000000000000001E-2</v>
      </c>
      <c r="U132" s="1">
        <v>9.6000000000000002E-2</v>
      </c>
      <c r="V132" s="1">
        <v>1.0999999999999999E-2</v>
      </c>
      <c r="W132" s="1">
        <v>6.0999999999999999E-2</v>
      </c>
      <c r="X132" s="1">
        <v>1E-3</v>
      </c>
      <c r="Y132" s="1">
        <v>0.03</v>
      </c>
      <c r="Z132" s="1">
        <v>0.30299999999999999</v>
      </c>
      <c r="AA132" s="1">
        <v>0.44</v>
      </c>
      <c r="AB132" s="1">
        <v>0.156</v>
      </c>
      <c r="AC132" s="1">
        <v>0.27200000000000002</v>
      </c>
      <c r="AD132" s="1">
        <v>1E-3</v>
      </c>
      <c r="AE132" s="1">
        <v>0.03</v>
      </c>
    </row>
    <row r="133" spans="1:31" x14ac:dyDescent="0.25">
      <c r="A133" t="str">
        <f>B133&amp;VLOOKUP(D133, Lookups!$E$2:$F$8,2,FALSE)&amp;C133</f>
        <v>SCLCEmergency presentation2</v>
      </c>
      <c r="B133" t="s">
        <v>20</v>
      </c>
      <c r="C133">
        <v>2</v>
      </c>
      <c r="D133" t="s">
        <v>33</v>
      </c>
      <c r="E133" s="1">
        <v>2.1186440677966102E-3</v>
      </c>
      <c r="F133" s="1">
        <v>0.23728813559322035</v>
      </c>
      <c r="G133" s="1">
        <v>6.7796610169491525E-2</v>
      </c>
      <c r="H133" s="1">
        <v>4.2372881355932203E-3</v>
      </c>
      <c r="I133" s="1">
        <v>0</v>
      </c>
      <c r="J133" s="1">
        <v>0.19703389830508475</v>
      </c>
      <c r="K133" s="1">
        <v>0.49152542372881358</v>
      </c>
      <c r="L133" s="1">
        <v>0</v>
      </c>
      <c r="M133" s="1">
        <v>1</v>
      </c>
      <c r="N133" s="2">
        <v>472</v>
      </c>
      <c r="P133" s="1">
        <v>0</v>
      </c>
      <c r="Q133" s="1">
        <v>1.2E-2</v>
      </c>
      <c r="R133" s="1">
        <v>0.20100000000000001</v>
      </c>
      <c r="S133" s="1">
        <v>0.27800000000000002</v>
      </c>
      <c r="T133" s="1">
        <v>4.8000000000000001E-2</v>
      </c>
      <c r="U133" s="1">
        <v>9.4E-2</v>
      </c>
      <c r="V133" s="1">
        <v>1E-3</v>
      </c>
      <c r="W133" s="1">
        <v>1.4999999999999999E-2</v>
      </c>
      <c r="X133" s="1">
        <v>0</v>
      </c>
      <c r="Y133" s="1">
        <v>8.0000000000000002E-3</v>
      </c>
      <c r="Z133" s="1">
        <v>0.16400000000000001</v>
      </c>
      <c r="AA133" s="1">
        <v>0.23499999999999999</v>
      </c>
      <c r="AB133" s="1">
        <v>0.44700000000000001</v>
      </c>
      <c r="AC133" s="1">
        <v>0.53700000000000003</v>
      </c>
      <c r="AD133" s="1">
        <v>0</v>
      </c>
      <c r="AE133" s="1">
        <v>8.0000000000000002E-3</v>
      </c>
    </row>
    <row r="134" spans="1:31" x14ac:dyDescent="0.25">
      <c r="A134" t="str">
        <f>B134&amp;VLOOKUP(D134, Lookups!$E$2:$F$8,2,FALSE)&amp;C134</f>
        <v>SCLCUnknown2</v>
      </c>
      <c r="B134" t="s">
        <v>20</v>
      </c>
      <c r="C134">
        <v>2</v>
      </c>
      <c r="D134" t="s">
        <v>4</v>
      </c>
      <c r="E134" s="1">
        <v>0</v>
      </c>
      <c r="F134" s="1">
        <v>0</v>
      </c>
      <c r="G134" s="1">
        <v>0</v>
      </c>
      <c r="H134" s="1">
        <v>0</v>
      </c>
      <c r="I134" s="1" t="s">
        <v>137</v>
      </c>
      <c r="J134" s="1">
        <v>0.27272727272727271</v>
      </c>
      <c r="K134" s="1">
        <v>0.72727272727272729</v>
      </c>
      <c r="L134" s="1" t="s">
        <v>137</v>
      </c>
      <c r="M134" s="1">
        <v>1</v>
      </c>
      <c r="N134" s="2">
        <v>11</v>
      </c>
      <c r="P134" s="1">
        <v>0</v>
      </c>
      <c r="Q134" s="1">
        <v>0.25900000000000001</v>
      </c>
      <c r="R134" s="1">
        <v>0</v>
      </c>
      <c r="S134" s="1">
        <v>0.25900000000000001</v>
      </c>
      <c r="T134" s="1">
        <v>0</v>
      </c>
      <c r="U134" s="1">
        <v>0.25900000000000001</v>
      </c>
      <c r="V134" s="1">
        <v>0</v>
      </c>
      <c r="W134" s="1">
        <v>0.25900000000000001</v>
      </c>
      <c r="X134" s="1"/>
      <c r="Y134" s="1"/>
      <c r="Z134" s="1">
        <v>9.7000000000000003E-2</v>
      </c>
      <c r="AA134" s="1">
        <v>0.56599999999999995</v>
      </c>
      <c r="AB134" s="1">
        <v>0.434</v>
      </c>
      <c r="AC134" s="1">
        <v>0.90300000000000002</v>
      </c>
      <c r="AD134" s="1"/>
      <c r="AE134" s="1"/>
    </row>
    <row r="135" spans="1:31" x14ac:dyDescent="0.25">
      <c r="A135" t="str">
        <f>B135&amp;VLOOKUP(D135, Lookups!$E$2:$F$8,2,FALSE)&amp;C135</f>
        <v>SCLCAll Routes2</v>
      </c>
      <c r="B135" t="s">
        <v>20</v>
      </c>
      <c r="C135">
        <v>2</v>
      </c>
      <c r="D135" t="s">
        <v>34</v>
      </c>
      <c r="E135" s="1">
        <v>8.4033613445378148E-3</v>
      </c>
      <c r="F135" s="1">
        <v>0.30022918258212378</v>
      </c>
      <c r="G135" s="1">
        <v>6.2643239113827354E-2</v>
      </c>
      <c r="H135" s="1">
        <v>1.3750954927425516E-2</v>
      </c>
      <c r="I135" s="1">
        <v>1.5278838808250573E-3</v>
      </c>
      <c r="J135" s="1">
        <v>0.29335370511841102</v>
      </c>
      <c r="K135" s="1">
        <v>0.3170359052711994</v>
      </c>
      <c r="L135" s="1">
        <v>3.0557677616501145E-3</v>
      </c>
      <c r="M135" s="1">
        <v>1</v>
      </c>
      <c r="N135" s="2">
        <v>1309</v>
      </c>
      <c r="P135" s="1">
        <v>5.0000000000000001E-3</v>
      </c>
      <c r="Q135" s="1">
        <v>1.4999999999999999E-2</v>
      </c>
      <c r="R135" s="1">
        <v>0.27600000000000002</v>
      </c>
      <c r="S135" s="1">
        <v>0.32600000000000001</v>
      </c>
      <c r="T135" s="1">
        <v>5.0999999999999997E-2</v>
      </c>
      <c r="U135" s="1">
        <v>7.6999999999999999E-2</v>
      </c>
      <c r="V135" s="1">
        <v>8.9999999999999993E-3</v>
      </c>
      <c r="W135" s="1">
        <v>2.1999999999999999E-2</v>
      </c>
      <c r="X135" s="1">
        <v>0</v>
      </c>
      <c r="Y135" s="1">
        <v>6.0000000000000001E-3</v>
      </c>
      <c r="Z135" s="1">
        <v>0.26900000000000002</v>
      </c>
      <c r="AA135" s="1">
        <v>0.31900000000000001</v>
      </c>
      <c r="AB135" s="1">
        <v>0.29199999999999998</v>
      </c>
      <c r="AC135" s="1">
        <v>0.34300000000000003</v>
      </c>
      <c r="AD135" s="1">
        <v>1E-3</v>
      </c>
      <c r="AE135" s="1">
        <v>8.0000000000000002E-3</v>
      </c>
    </row>
    <row r="136" spans="1:31" x14ac:dyDescent="0.25">
      <c r="A136" t="str">
        <f>B136&amp;VLOOKUP(D136, Lookups!$E$2:$F$8,2,FALSE)&amp;C136</f>
        <v>SCLCScreen detected3+</v>
      </c>
      <c r="B136" t="s">
        <v>20</v>
      </c>
      <c r="C136" t="s">
        <v>40</v>
      </c>
      <c r="D136" t="s">
        <v>30</v>
      </c>
      <c r="E136" s="1" t="s">
        <v>137</v>
      </c>
      <c r="F136" s="1" t="s">
        <v>137</v>
      </c>
      <c r="G136" s="1" t="s">
        <v>137</v>
      </c>
      <c r="H136" s="1" t="s">
        <v>137</v>
      </c>
      <c r="I136" s="1" t="s">
        <v>137</v>
      </c>
      <c r="J136" s="1" t="s">
        <v>137</v>
      </c>
      <c r="K136" s="1" t="s">
        <v>137</v>
      </c>
      <c r="L136" s="1" t="s">
        <v>137</v>
      </c>
      <c r="M136" s="1">
        <v>0</v>
      </c>
      <c r="N136" s="2">
        <v>0</v>
      </c>
      <c r="P136" s="1"/>
      <c r="Q136" s="1"/>
      <c r="R136" s="1"/>
      <c r="S136" s="1"/>
      <c r="T136" s="1"/>
      <c r="U136" s="1"/>
      <c r="V136" s="1"/>
      <c r="W136" s="1"/>
      <c r="X136" s="1"/>
      <c r="Y136" s="1"/>
      <c r="Z136" s="1"/>
      <c r="AA136" s="1"/>
      <c r="AB136" s="1"/>
      <c r="AC136" s="1"/>
      <c r="AD136" s="1"/>
      <c r="AE136" s="1"/>
    </row>
    <row r="137" spans="1:31" x14ac:dyDescent="0.25">
      <c r="A137" t="str">
        <f>B137&amp;VLOOKUP(D137, Lookups!$E$2:$F$8,2,FALSE)&amp;C137</f>
        <v>SCLCTwo Week Wait3+</v>
      </c>
      <c r="B137" t="s">
        <v>20</v>
      </c>
      <c r="C137" t="s">
        <v>40</v>
      </c>
      <c r="D137" t="s">
        <v>31</v>
      </c>
      <c r="E137" s="1">
        <v>3.90625E-3</v>
      </c>
      <c r="F137" s="1">
        <v>0.3359375</v>
      </c>
      <c r="G137" s="1">
        <v>0.11328125</v>
      </c>
      <c r="H137" s="1">
        <v>1.953125E-2</v>
      </c>
      <c r="I137" s="1">
        <v>3.90625E-3</v>
      </c>
      <c r="J137" s="1">
        <v>0.3828125</v>
      </c>
      <c r="K137" s="1">
        <v>0.13671875</v>
      </c>
      <c r="L137" s="1">
        <v>3.90625E-3</v>
      </c>
      <c r="M137" s="1">
        <v>1</v>
      </c>
      <c r="N137" s="2">
        <v>256</v>
      </c>
      <c r="P137" s="1">
        <v>1E-3</v>
      </c>
      <c r="Q137" s="1">
        <v>2.1999999999999999E-2</v>
      </c>
      <c r="R137" s="1">
        <v>0.28100000000000003</v>
      </c>
      <c r="S137" s="1">
        <v>0.39600000000000002</v>
      </c>
      <c r="T137" s="1">
        <v>0.08</v>
      </c>
      <c r="U137" s="1">
        <v>0.158</v>
      </c>
      <c r="V137" s="1">
        <v>8.0000000000000002E-3</v>
      </c>
      <c r="W137" s="1">
        <v>4.4999999999999998E-2</v>
      </c>
      <c r="X137" s="1">
        <v>1E-3</v>
      </c>
      <c r="Y137" s="1">
        <v>2.1999999999999999E-2</v>
      </c>
      <c r="Z137" s="1">
        <v>0.32500000000000001</v>
      </c>
      <c r="AA137" s="1">
        <v>0.44400000000000001</v>
      </c>
      <c r="AB137" s="1">
        <v>0.1</v>
      </c>
      <c r="AC137" s="1">
        <v>0.184</v>
      </c>
      <c r="AD137" s="1">
        <v>1E-3</v>
      </c>
      <c r="AE137" s="1">
        <v>2.1999999999999999E-2</v>
      </c>
    </row>
    <row r="138" spans="1:31" x14ac:dyDescent="0.25">
      <c r="A138" t="str">
        <f>B138&amp;VLOOKUP(D138, Lookups!$E$2:$F$8,2,FALSE)&amp;C138</f>
        <v>SCLCGP referral3+</v>
      </c>
      <c r="B138" t="s">
        <v>20</v>
      </c>
      <c r="C138" t="s">
        <v>40</v>
      </c>
      <c r="D138" t="s">
        <v>2</v>
      </c>
      <c r="E138" s="1">
        <v>8.23045267489712E-3</v>
      </c>
      <c r="F138" s="1">
        <v>0.32921810699588477</v>
      </c>
      <c r="G138" s="1">
        <v>8.2304526748971193E-2</v>
      </c>
      <c r="H138" s="1">
        <v>1.646090534979424E-2</v>
      </c>
      <c r="I138" s="1">
        <v>0</v>
      </c>
      <c r="J138" s="1">
        <v>0.22222222222222221</v>
      </c>
      <c r="K138" s="1">
        <v>0.34156378600823045</v>
      </c>
      <c r="L138" s="1">
        <v>0</v>
      </c>
      <c r="M138" s="1">
        <v>1</v>
      </c>
      <c r="N138" s="2">
        <v>243</v>
      </c>
      <c r="P138" s="1">
        <v>2E-3</v>
      </c>
      <c r="Q138" s="1">
        <v>0.03</v>
      </c>
      <c r="R138" s="1">
        <v>0.27300000000000002</v>
      </c>
      <c r="S138" s="1">
        <v>0.39100000000000001</v>
      </c>
      <c r="T138" s="1">
        <v>5.3999999999999999E-2</v>
      </c>
      <c r="U138" s="1">
        <v>0.124</v>
      </c>
      <c r="V138" s="1">
        <v>6.0000000000000001E-3</v>
      </c>
      <c r="W138" s="1">
        <v>4.2000000000000003E-2</v>
      </c>
      <c r="X138" s="1">
        <v>0</v>
      </c>
      <c r="Y138" s="1">
        <v>1.6E-2</v>
      </c>
      <c r="Z138" s="1">
        <v>0.17499999999999999</v>
      </c>
      <c r="AA138" s="1">
        <v>0.27900000000000003</v>
      </c>
      <c r="AB138" s="1">
        <v>0.28499999999999998</v>
      </c>
      <c r="AC138" s="1">
        <v>0.40300000000000002</v>
      </c>
      <c r="AD138" s="1">
        <v>0</v>
      </c>
      <c r="AE138" s="1">
        <v>1.6E-2</v>
      </c>
    </row>
    <row r="139" spans="1:31" x14ac:dyDescent="0.25">
      <c r="A139" t="str">
        <f>B139&amp;VLOOKUP(D139, Lookups!$E$2:$F$8,2,FALSE)&amp;C139</f>
        <v>SCLCIP &amp; OP3+</v>
      </c>
      <c r="B139" t="s">
        <v>20</v>
      </c>
      <c r="C139" t="s">
        <v>40</v>
      </c>
      <c r="D139" t="s">
        <v>32</v>
      </c>
      <c r="E139" s="1">
        <v>2.4096385542168676E-2</v>
      </c>
      <c r="F139" s="1">
        <v>0.29518072289156627</v>
      </c>
      <c r="G139" s="1">
        <v>7.2289156626506021E-2</v>
      </c>
      <c r="H139" s="1">
        <v>4.2168674698795178E-2</v>
      </c>
      <c r="I139" s="1">
        <v>0</v>
      </c>
      <c r="J139" s="1">
        <v>0.30722891566265059</v>
      </c>
      <c r="K139" s="1">
        <v>0.24096385542168675</v>
      </c>
      <c r="L139" s="1">
        <v>1.8072289156626505E-2</v>
      </c>
      <c r="M139" s="1">
        <v>1</v>
      </c>
      <c r="N139" s="2">
        <v>166</v>
      </c>
      <c r="P139" s="1">
        <v>8.9999999999999993E-3</v>
      </c>
      <c r="Q139" s="1">
        <v>0.06</v>
      </c>
      <c r="R139" s="1">
        <v>0.23100000000000001</v>
      </c>
      <c r="S139" s="1">
        <v>0.36899999999999999</v>
      </c>
      <c r="T139" s="1">
        <v>4.2000000000000003E-2</v>
      </c>
      <c r="U139" s="1">
        <v>0.122</v>
      </c>
      <c r="V139" s="1">
        <v>2.1000000000000001E-2</v>
      </c>
      <c r="W139" s="1">
        <v>8.4000000000000005E-2</v>
      </c>
      <c r="X139" s="1">
        <v>0</v>
      </c>
      <c r="Y139" s="1">
        <v>2.3E-2</v>
      </c>
      <c r="Z139" s="1">
        <v>0.24199999999999999</v>
      </c>
      <c r="AA139" s="1">
        <v>0.38100000000000001</v>
      </c>
      <c r="AB139" s="1">
        <v>0.182</v>
      </c>
      <c r="AC139" s="1">
        <v>0.311</v>
      </c>
      <c r="AD139" s="1">
        <v>6.0000000000000001E-3</v>
      </c>
      <c r="AE139" s="1">
        <v>5.1999999999999998E-2</v>
      </c>
    </row>
    <row r="140" spans="1:31" x14ac:dyDescent="0.25">
      <c r="A140" t="str">
        <f>B140&amp;VLOOKUP(D140, Lookups!$E$2:$F$8,2,FALSE)&amp;C140</f>
        <v>SCLCEmergency presentation3+</v>
      </c>
      <c r="B140" t="s">
        <v>20</v>
      </c>
      <c r="C140" t="s">
        <v>40</v>
      </c>
      <c r="D140" t="s">
        <v>33</v>
      </c>
      <c r="E140" s="1">
        <v>2.2271714922048997E-3</v>
      </c>
      <c r="F140" s="1">
        <v>0.23385300668151449</v>
      </c>
      <c r="G140" s="1">
        <v>8.2405345211581285E-2</v>
      </c>
      <c r="H140" s="1">
        <v>4.4543429844097994E-3</v>
      </c>
      <c r="I140" s="1">
        <v>0</v>
      </c>
      <c r="J140" s="1">
        <v>0.12694877505567928</v>
      </c>
      <c r="K140" s="1">
        <v>0.55011135857461024</v>
      </c>
      <c r="L140" s="1">
        <v>0</v>
      </c>
      <c r="M140" s="1">
        <v>1</v>
      </c>
      <c r="N140" s="2">
        <v>449</v>
      </c>
      <c r="P140" s="1">
        <v>0</v>
      </c>
      <c r="Q140" s="1">
        <v>1.2999999999999999E-2</v>
      </c>
      <c r="R140" s="1">
        <v>0.19700000000000001</v>
      </c>
      <c r="S140" s="1">
        <v>0.27500000000000002</v>
      </c>
      <c r="T140" s="1">
        <v>0.06</v>
      </c>
      <c r="U140" s="1">
        <v>0.112</v>
      </c>
      <c r="V140" s="1">
        <v>1E-3</v>
      </c>
      <c r="W140" s="1">
        <v>1.6E-2</v>
      </c>
      <c r="X140" s="1">
        <v>0</v>
      </c>
      <c r="Y140" s="1">
        <v>8.0000000000000002E-3</v>
      </c>
      <c r="Z140" s="1">
        <v>9.9000000000000005E-2</v>
      </c>
      <c r="AA140" s="1">
        <v>0.161</v>
      </c>
      <c r="AB140" s="1">
        <v>0.504</v>
      </c>
      <c r="AC140" s="1">
        <v>0.59599999999999997</v>
      </c>
      <c r="AD140" s="1">
        <v>0</v>
      </c>
      <c r="AE140" s="1">
        <v>8.0000000000000002E-3</v>
      </c>
    </row>
    <row r="141" spans="1:31" x14ac:dyDescent="0.25">
      <c r="A141" t="str">
        <f>B141&amp;VLOOKUP(D141, Lookups!$E$2:$F$8,2,FALSE)&amp;C141</f>
        <v>SCLCUnknown3+</v>
      </c>
      <c r="B141" t="s">
        <v>20</v>
      </c>
      <c r="C141" t="s">
        <v>40</v>
      </c>
      <c r="D141" t="s">
        <v>4</v>
      </c>
      <c r="E141" s="1">
        <v>0</v>
      </c>
      <c r="F141" s="1">
        <v>0.4</v>
      </c>
      <c r="G141" s="1">
        <v>0</v>
      </c>
      <c r="H141" s="1">
        <v>0</v>
      </c>
      <c r="I141" s="1" t="s">
        <v>137</v>
      </c>
      <c r="J141" s="1">
        <v>0.2</v>
      </c>
      <c r="K141" s="1">
        <v>0.4</v>
      </c>
      <c r="L141" s="1" t="s">
        <v>137</v>
      </c>
      <c r="M141" s="1">
        <v>1</v>
      </c>
      <c r="N141" s="2">
        <v>5</v>
      </c>
      <c r="P141" s="1">
        <v>0</v>
      </c>
      <c r="Q141" s="1">
        <v>0.434</v>
      </c>
      <c r="R141" s="1">
        <v>0.11799999999999999</v>
      </c>
      <c r="S141" s="1">
        <v>0.76900000000000002</v>
      </c>
      <c r="T141" s="1">
        <v>0</v>
      </c>
      <c r="U141" s="1">
        <v>0.434</v>
      </c>
      <c r="V141" s="1">
        <v>0</v>
      </c>
      <c r="W141" s="1">
        <v>0.434</v>
      </c>
      <c r="X141" s="1"/>
      <c r="Y141" s="1"/>
      <c r="Z141" s="1">
        <v>3.5999999999999997E-2</v>
      </c>
      <c r="AA141" s="1">
        <v>0.624</v>
      </c>
      <c r="AB141" s="1">
        <v>0.11799999999999999</v>
      </c>
      <c r="AC141" s="1">
        <v>0.76900000000000002</v>
      </c>
      <c r="AD141" s="1"/>
      <c r="AE141" s="1"/>
    </row>
    <row r="142" spans="1:31" x14ac:dyDescent="0.25">
      <c r="A142" t="str">
        <f>B142&amp;VLOOKUP(D142, Lookups!$E$2:$F$8,2,FALSE)&amp;C142</f>
        <v>SCLCAll Routes3+</v>
      </c>
      <c r="B142" t="s">
        <v>20</v>
      </c>
      <c r="C142" t="s">
        <v>40</v>
      </c>
      <c r="D142" t="s">
        <v>34</v>
      </c>
      <c r="E142" s="1">
        <v>7.1492403932082215E-3</v>
      </c>
      <c r="F142" s="1">
        <v>0.28775692582663093</v>
      </c>
      <c r="G142" s="1">
        <v>8.7578194816800708E-2</v>
      </c>
      <c r="H142" s="1">
        <v>1.6085790884718499E-2</v>
      </c>
      <c r="I142" s="1">
        <v>8.9365504915102768E-4</v>
      </c>
      <c r="J142" s="1">
        <v>0.23324396782841822</v>
      </c>
      <c r="K142" s="1">
        <v>0.36371760500446826</v>
      </c>
      <c r="L142" s="1">
        <v>3.5746201966041107E-3</v>
      </c>
      <c r="M142" s="1">
        <v>1</v>
      </c>
      <c r="N142" s="2">
        <v>1119</v>
      </c>
      <c r="P142" s="1">
        <v>4.0000000000000001E-3</v>
      </c>
      <c r="Q142" s="1">
        <v>1.4E-2</v>
      </c>
      <c r="R142" s="1">
        <v>0.26200000000000001</v>
      </c>
      <c r="S142" s="1">
        <v>0.315</v>
      </c>
      <c r="T142" s="1">
        <v>7.1999999999999995E-2</v>
      </c>
      <c r="U142" s="1">
        <v>0.106</v>
      </c>
      <c r="V142" s="1">
        <v>0.01</v>
      </c>
      <c r="W142" s="1">
        <v>2.5000000000000001E-2</v>
      </c>
      <c r="X142" s="1">
        <v>0</v>
      </c>
      <c r="Y142" s="1">
        <v>5.0000000000000001E-3</v>
      </c>
      <c r="Z142" s="1">
        <v>0.20899999999999999</v>
      </c>
      <c r="AA142" s="1">
        <v>0.25900000000000001</v>
      </c>
      <c r="AB142" s="1">
        <v>0.33600000000000002</v>
      </c>
      <c r="AC142" s="1">
        <v>0.39200000000000002</v>
      </c>
      <c r="AD142" s="1">
        <v>1E-3</v>
      </c>
      <c r="AE142" s="1">
        <v>8.9999999999999993E-3</v>
      </c>
    </row>
    <row r="143" spans="1:31" x14ac:dyDescent="0.25">
      <c r="A143" t="str">
        <f>B143&amp;VLOOKUP(D143, Lookups!$E$2:$F$8,2,FALSE)&amp;C143</f>
        <v>ProstateScreen detected0</v>
      </c>
      <c r="B143" t="s">
        <v>21</v>
      </c>
      <c r="C143">
        <v>0</v>
      </c>
      <c r="D143" t="s">
        <v>30</v>
      </c>
      <c r="E143" s="1" t="s">
        <v>137</v>
      </c>
      <c r="F143" s="1" t="s">
        <v>137</v>
      </c>
      <c r="G143" s="1" t="s">
        <v>137</v>
      </c>
      <c r="H143" s="1" t="s">
        <v>137</v>
      </c>
      <c r="I143" s="1" t="s">
        <v>137</v>
      </c>
      <c r="J143" s="1" t="s">
        <v>137</v>
      </c>
      <c r="K143" s="1" t="s">
        <v>137</v>
      </c>
      <c r="L143" s="1" t="s">
        <v>137</v>
      </c>
      <c r="M143" s="1">
        <v>0</v>
      </c>
      <c r="N143" s="2">
        <v>0</v>
      </c>
      <c r="P143" s="1"/>
      <c r="Q143" s="1"/>
      <c r="R143" s="1"/>
      <c r="S143" s="1"/>
      <c r="T143" s="1"/>
      <c r="U143" s="1"/>
      <c r="V143" s="1"/>
      <c r="W143" s="1"/>
      <c r="X143" s="1"/>
      <c r="Y143" s="1"/>
      <c r="Z143" s="1"/>
      <c r="AA143" s="1"/>
      <c r="AB143" s="1"/>
      <c r="AC143" s="1"/>
      <c r="AD143" s="1"/>
      <c r="AE143" s="1"/>
    </row>
    <row r="144" spans="1:31" x14ac:dyDescent="0.25">
      <c r="A144" t="str">
        <f>B144&amp;VLOOKUP(D144, Lookups!$E$2:$F$8,2,FALSE)&amp;C144</f>
        <v>ProstateTwo Week Wait0</v>
      </c>
      <c r="B144" t="s">
        <v>21</v>
      </c>
      <c r="C144">
        <v>0</v>
      </c>
      <c r="D144" t="s">
        <v>31</v>
      </c>
      <c r="E144" s="1">
        <v>0.12820075526860764</v>
      </c>
      <c r="F144" s="1">
        <v>2.5094408575953221E-2</v>
      </c>
      <c r="G144" s="1">
        <v>0.33475453770252162</v>
      </c>
      <c r="H144" s="1">
        <v>7.7963211109757585E-4</v>
      </c>
      <c r="I144" s="1">
        <v>1.4593738579607747E-2</v>
      </c>
      <c r="J144" s="1">
        <v>2.0392252405895969E-2</v>
      </c>
      <c r="K144" s="1">
        <v>0.47594104032159823</v>
      </c>
      <c r="L144" s="1">
        <v>2.4363503471799245E-4</v>
      </c>
      <c r="M144" s="1">
        <v>1</v>
      </c>
      <c r="N144" s="2">
        <v>41045</v>
      </c>
      <c r="P144" s="1">
        <v>0.125</v>
      </c>
      <c r="Q144" s="1">
        <v>0.13100000000000001</v>
      </c>
      <c r="R144" s="1">
        <v>2.4E-2</v>
      </c>
      <c r="S144" s="1">
        <v>2.7E-2</v>
      </c>
      <c r="T144" s="1">
        <v>0.33</v>
      </c>
      <c r="U144" s="1">
        <v>0.33900000000000002</v>
      </c>
      <c r="V144" s="1">
        <v>1E-3</v>
      </c>
      <c r="W144" s="1">
        <v>1E-3</v>
      </c>
      <c r="X144" s="1">
        <v>1.2999999999999999E-2</v>
      </c>
      <c r="Y144" s="1">
        <v>1.6E-2</v>
      </c>
      <c r="Z144" s="1">
        <v>1.9E-2</v>
      </c>
      <c r="AA144" s="1">
        <v>2.1999999999999999E-2</v>
      </c>
      <c r="AB144" s="1">
        <v>0.47099999999999997</v>
      </c>
      <c r="AC144" s="1">
        <v>0.48099999999999998</v>
      </c>
      <c r="AD144" s="1">
        <v>0</v>
      </c>
      <c r="AE144" s="1">
        <v>0</v>
      </c>
    </row>
    <row r="145" spans="1:31" x14ac:dyDescent="0.25">
      <c r="A145" t="str">
        <f>B145&amp;VLOOKUP(D145, Lookups!$E$2:$F$8,2,FALSE)&amp;C145</f>
        <v>ProstateGP referral0</v>
      </c>
      <c r="B145" t="s">
        <v>21</v>
      </c>
      <c r="C145">
        <v>0</v>
      </c>
      <c r="D145" t="s">
        <v>2</v>
      </c>
      <c r="E145" s="1">
        <v>0.2150184034272612</v>
      </c>
      <c r="F145" s="1">
        <v>1.0438665298980269E-2</v>
      </c>
      <c r="G145" s="1">
        <v>0.25339407469981295</v>
      </c>
      <c r="H145" s="1">
        <v>9.9559524527846502E-4</v>
      </c>
      <c r="I145" s="1">
        <v>1.6593254087974418E-2</v>
      </c>
      <c r="J145" s="1">
        <v>9.9257828998974233E-3</v>
      </c>
      <c r="K145" s="1">
        <v>0.49339286791769749</v>
      </c>
      <c r="L145" s="1">
        <v>2.4135642309780969E-4</v>
      </c>
      <c r="M145" s="1">
        <v>1</v>
      </c>
      <c r="N145" s="2">
        <v>33146</v>
      </c>
      <c r="P145" s="1">
        <v>0.21099999999999999</v>
      </c>
      <c r="Q145" s="1">
        <v>0.219</v>
      </c>
      <c r="R145" s="1">
        <v>8.9999999999999993E-3</v>
      </c>
      <c r="S145" s="1">
        <v>1.2E-2</v>
      </c>
      <c r="T145" s="1">
        <v>0.249</v>
      </c>
      <c r="U145" s="1">
        <v>0.25800000000000001</v>
      </c>
      <c r="V145" s="1">
        <v>1E-3</v>
      </c>
      <c r="W145" s="1">
        <v>1E-3</v>
      </c>
      <c r="X145" s="1">
        <v>1.4999999999999999E-2</v>
      </c>
      <c r="Y145" s="1">
        <v>1.7999999999999999E-2</v>
      </c>
      <c r="Z145" s="1">
        <v>8.9999999999999993E-3</v>
      </c>
      <c r="AA145" s="1">
        <v>1.0999999999999999E-2</v>
      </c>
      <c r="AB145" s="1">
        <v>0.48799999999999999</v>
      </c>
      <c r="AC145" s="1">
        <v>0.499</v>
      </c>
      <c r="AD145" s="1">
        <v>0</v>
      </c>
      <c r="AE145" s="1">
        <v>0</v>
      </c>
    </row>
    <row r="146" spans="1:31" x14ac:dyDescent="0.25">
      <c r="A146" t="str">
        <f>B146&amp;VLOOKUP(D146, Lookups!$E$2:$F$8,2,FALSE)&amp;C146</f>
        <v>ProstateIP &amp; OP0</v>
      </c>
      <c r="B146" t="s">
        <v>21</v>
      </c>
      <c r="C146">
        <v>0</v>
      </c>
      <c r="D146" t="s">
        <v>32</v>
      </c>
      <c r="E146" s="1">
        <v>0.2032800441014333</v>
      </c>
      <c r="F146" s="1">
        <v>1.4884233737596472E-2</v>
      </c>
      <c r="G146" s="1">
        <v>0.21926681367144432</v>
      </c>
      <c r="H146" s="1">
        <v>2.067254685777288E-3</v>
      </c>
      <c r="I146" s="1">
        <v>1.2541345093715546E-2</v>
      </c>
      <c r="J146" s="1">
        <v>1.2679162072767364E-2</v>
      </c>
      <c r="K146" s="1">
        <v>0.53514332965821387</v>
      </c>
      <c r="L146" s="1">
        <v>1.3781697905181919E-4</v>
      </c>
      <c r="M146" s="1">
        <v>1</v>
      </c>
      <c r="N146" s="2">
        <v>7256</v>
      </c>
      <c r="P146" s="1">
        <v>0.19400000000000001</v>
      </c>
      <c r="Q146" s="1">
        <v>0.21299999999999999</v>
      </c>
      <c r="R146" s="1">
        <v>1.2E-2</v>
      </c>
      <c r="S146" s="1">
        <v>1.7999999999999999E-2</v>
      </c>
      <c r="T146" s="1">
        <v>0.21</v>
      </c>
      <c r="U146" s="1">
        <v>0.22900000000000001</v>
      </c>
      <c r="V146" s="1">
        <v>1E-3</v>
      </c>
      <c r="W146" s="1">
        <v>3.0000000000000001E-3</v>
      </c>
      <c r="X146" s="1">
        <v>0.01</v>
      </c>
      <c r="Y146" s="1">
        <v>1.4999999999999999E-2</v>
      </c>
      <c r="Z146" s="1">
        <v>0.01</v>
      </c>
      <c r="AA146" s="1">
        <v>1.6E-2</v>
      </c>
      <c r="AB146" s="1">
        <v>0.52400000000000002</v>
      </c>
      <c r="AC146" s="1">
        <v>0.54700000000000004</v>
      </c>
      <c r="AD146" s="1">
        <v>0</v>
      </c>
      <c r="AE146" s="1">
        <v>1E-3</v>
      </c>
    </row>
    <row r="147" spans="1:31" x14ac:dyDescent="0.25">
      <c r="A147" t="str">
        <f>B147&amp;VLOOKUP(D147, Lookups!$E$2:$F$8,2,FALSE)&amp;C147</f>
        <v>ProstateEmergency presentation0</v>
      </c>
      <c r="B147" t="s">
        <v>21</v>
      </c>
      <c r="C147">
        <v>0</v>
      </c>
      <c r="D147" t="s">
        <v>33</v>
      </c>
      <c r="E147" s="1">
        <v>4.3576683644595361E-2</v>
      </c>
      <c r="F147" s="1">
        <v>3.2823995472552346E-2</v>
      </c>
      <c r="G147" s="1">
        <v>0.19637804187889077</v>
      </c>
      <c r="H147" s="1">
        <v>7.5457460856442177E-4</v>
      </c>
      <c r="I147" s="1">
        <v>1.8864365214110545E-3</v>
      </c>
      <c r="J147" s="1">
        <v>3.3767213733257875E-2</v>
      </c>
      <c r="K147" s="1">
        <v>0.69062441048858703</v>
      </c>
      <c r="L147" s="1">
        <v>1.8864365214110544E-4</v>
      </c>
      <c r="M147" s="1">
        <v>1</v>
      </c>
      <c r="N147" s="2">
        <v>5301</v>
      </c>
      <c r="P147" s="1">
        <v>3.7999999999999999E-2</v>
      </c>
      <c r="Q147" s="1">
        <v>4.9000000000000002E-2</v>
      </c>
      <c r="R147" s="1">
        <v>2.8000000000000001E-2</v>
      </c>
      <c r="S147" s="1">
        <v>3.7999999999999999E-2</v>
      </c>
      <c r="T147" s="1">
        <v>0.186</v>
      </c>
      <c r="U147" s="1">
        <v>0.20699999999999999</v>
      </c>
      <c r="V147" s="1">
        <v>0</v>
      </c>
      <c r="W147" s="1">
        <v>2E-3</v>
      </c>
      <c r="X147" s="1">
        <v>1E-3</v>
      </c>
      <c r="Y147" s="1">
        <v>3.0000000000000001E-3</v>
      </c>
      <c r="Z147" s="1">
        <v>2.9000000000000001E-2</v>
      </c>
      <c r="AA147" s="1">
        <v>3.9E-2</v>
      </c>
      <c r="AB147" s="1">
        <v>0.67800000000000005</v>
      </c>
      <c r="AC147" s="1">
        <v>0.70299999999999996</v>
      </c>
      <c r="AD147" s="1">
        <v>0</v>
      </c>
      <c r="AE147" s="1">
        <v>1E-3</v>
      </c>
    </row>
    <row r="148" spans="1:31" x14ac:dyDescent="0.25">
      <c r="A148" t="str">
        <f>B148&amp;VLOOKUP(D148, Lookups!$E$2:$F$8,2,FALSE)&amp;C148</f>
        <v>ProstateUnknown0</v>
      </c>
      <c r="B148" t="s">
        <v>21</v>
      </c>
      <c r="C148">
        <v>0</v>
      </c>
      <c r="D148" t="s">
        <v>4</v>
      </c>
      <c r="E148" s="1">
        <v>0.21422004290530186</v>
      </c>
      <c r="F148" s="1">
        <v>1.0113392583512106E-2</v>
      </c>
      <c r="G148" s="1">
        <v>0.16426601287159057</v>
      </c>
      <c r="H148" s="1">
        <v>6.1293288384921848E-4</v>
      </c>
      <c r="I148" s="1">
        <v>1.3178057002758198E-2</v>
      </c>
      <c r="J148" s="1">
        <v>1.1645724793135151E-2</v>
      </c>
      <c r="K148" s="1">
        <v>0.58596383695985288</v>
      </c>
      <c r="L148" s="1" t="s">
        <v>137</v>
      </c>
      <c r="M148" s="1">
        <v>1</v>
      </c>
      <c r="N148" s="2">
        <v>3263</v>
      </c>
      <c r="P148" s="1">
        <v>0.2</v>
      </c>
      <c r="Q148" s="1">
        <v>0.22900000000000001</v>
      </c>
      <c r="R148" s="1">
        <v>7.0000000000000001E-3</v>
      </c>
      <c r="S148" s="1">
        <v>1.4E-2</v>
      </c>
      <c r="T148" s="1">
        <v>0.152</v>
      </c>
      <c r="U148" s="1">
        <v>0.17699999999999999</v>
      </c>
      <c r="V148" s="1">
        <v>0</v>
      </c>
      <c r="W148" s="1">
        <v>2E-3</v>
      </c>
      <c r="X148" s="1">
        <v>0.01</v>
      </c>
      <c r="Y148" s="1">
        <v>1.7999999999999999E-2</v>
      </c>
      <c r="Z148" s="1">
        <v>8.0000000000000002E-3</v>
      </c>
      <c r="AA148" s="1">
        <v>1.6E-2</v>
      </c>
      <c r="AB148" s="1">
        <v>0.56899999999999995</v>
      </c>
      <c r="AC148" s="1">
        <v>0.60299999999999998</v>
      </c>
      <c r="AD148" s="1"/>
      <c r="AE148" s="1"/>
    </row>
    <row r="149" spans="1:31" x14ac:dyDescent="0.25">
      <c r="A149" t="str">
        <f>B149&amp;VLOOKUP(D149, Lookups!$E$2:$F$8,2,FALSE)&amp;C149</f>
        <v>ProstateAll Routes0</v>
      </c>
      <c r="B149" t="s">
        <v>21</v>
      </c>
      <c r="C149">
        <v>0</v>
      </c>
      <c r="D149" t="s">
        <v>34</v>
      </c>
      <c r="E149" s="1">
        <v>0.16435768961571365</v>
      </c>
      <c r="F149" s="1">
        <v>1.8786592749775028E-2</v>
      </c>
      <c r="G149" s="1">
        <v>0.28115452555798737</v>
      </c>
      <c r="H149" s="1">
        <v>9.5543877970470279E-4</v>
      </c>
      <c r="I149" s="1">
        <v>1.4364910955327681E-2</v>
      </c>
      <c r="J149" s="1">
        <v>1.6386886047260889E-2</v>
      </c>
      <c r="K149" s="1">
        <v>0.5037717612291831</v>
      </c>
      <c r="L149" s="1">
        <v>2.2219506504760531E-4</v>
      </c>
      <c r="M149" s="1">
        <v>1</v>
      </c>
      <c r="N149" s="2">
        <v>90011</v>
      </c>
      <c r="P149" s="1">
        <v>0.16200000000000001</v>
      </c>
      <c r="Q149" s="1">
        <v>0.16700000000000001</v>
      </c>
      <c r="R149" s="1">
        <v>1.7999999999999999E-2</v>
      </c>
      <c r="S149" s="1">
        <v>0.02</v>
      </c>
      <c r="T149" s="1">
        <v>0.27800000000000002</v>
      </c>
      <c r="U149" s="1">
        <v>0.28399999999999997</v>
      </c>
      <c r="V149" s="1">
        <v>1E-3</v>
      </c>
      <c r="W149" s="1">
        <v>1E-3</v>
      </c>
      <c r="X149" s="1">
        <v>1.4E-2</v>
      </c>
      <c r="Y149" s="1">
        <v>1.4999999999999999E-2</v>
      </c>
      <c r="Z149" s="1">
        <v>1.6E-2</v>
      </c>
      <c r="AA149" s="1">
        <v>1.7000000000000001E-2</v>
      </c>
      <c r="AB149" s="1">
        <v>0.501</v>
      </c>
      <c r="AC149" s="1">
        <v>0.50700000000000001</v>
      </c>
      <c r="AD149" s="1">
        <v>0</v>
      </c>
      <c r="AE149" s="1">
        <v>0</v>
      </c>
    </row>
    <row r="150" spans="1:31" x14ac:dyDescent="0.25">
      <c r="A150" t="str">
        <f>B150&amp;VLOOKUP(D150, Lookups!$E$2:$F$8,2,FALSE)&amp;C150</f>
        <v>ProstateScreen detected1</v>
      </c>
      <c r="B150" t="s">
        <v>21</v>
      </c>
      <c r="C150">
        <v>1</v>
      </c>
      <c r="D150" t="s">
        <v>30</v>
      </c>
      <c r="E150" s="1" t="s">
        <v>137</v>
      </c>
      <c r="F150" s="1" t="s">
        <v>137</v>
      </c>
      <c r="G150" s="1" t="s">
        <v>137</v>
      </c>
      <c r="H150" s="1" t="s">
        <v>137</v>
      </c>
      <c r="I150" s="1" t="s">
        <v>137</v>
      </c>
      <c r="J150" s="1" t="s">
        <v>137</v>
      </c>
      <c r="K150" s="1" t="s">
        <v>137</v>
      </c>
      <c r="L150" s="1" t="s">
        <v>137</v>
      </c>
      <c r="M150" s="1">
        <v>0</v>
      </c>
      <c r="N150" s="2">
        <v>0</v>
      </c>
      <c r="P150" s="1"/>
      <c r="Q150" s="1"/>
      <c r="R150" s="1"/>
      <c r="S150" s="1"/>
      <c r="T150" s="1"/>
      <c r="U150" s="1"/>
      <c r="V150" s="1"/>
      <c r="W150" s="1"/>
      <c r="X150" s="1"/>
      <c r="Y150" s="1"/>
      <c r="Z150" s="1"/>
      <c r="AA150" s="1"/>
      <c r="AB150" s="1"/>
      <c r="AC150" s="1"/>
      <c r="AD150" s="1"/>
      <c r="AE150" s="1"/>
    </row>
    <row r="151" spans="1:31" x14ac:dyDescent="0.25">
      <c r="A151" t="str">
        <f>B151&amp;VLOOKUP(D151, Lookups!$E$2:$F$8,2,FALSE)&amp;C151</f>
        <v>ProstateTwo Week Wait1</v>
      </c>
      <c r="B151" t="s">
        <v>21</v>
      </c>
      <c r="C151">
        <v>1</v>
      </c>
      <c r="D151" t="s">
        <v>31</v>
      </c>
      <c r="E151" s="1">
        <v>6.8889501240011017E-2</v>
      </c>
      <c r="F151" s="1">
        <v>1.8049049324882889E-2</v>
      </c>
      <c r="G151" s="1">
        <v>0.33438963901901353</v>
      </c>
      <c r="H151" s="1">
        <v>5.5111600992008823E-4</v>
      </c>
      <c r="I151" s="1">
        <v>7.026729126481124E-3</v>
      </c>
      <c r="J151" s="1">
        <v>1.3915679250482227E-2</v>
      </c>
      <c r="K151" s="1">
        <v>0.55704050702672914</v>
      </c>
      <c r="L151" s="1">
        <v>1.3777900248002206E-4</v>
      </c>
      <c r="M151" s="1">
        <v>1</v>
      </c>
      <c r="N151" s="2">
        <v>7258</v>
      </c>
      <c r="P151" s="1">
        <v>6.3E-2</v>
      </c>
      <c r="Q151" s="1">
        <v>7.4999999999999997E-2</v>
      </c>
      <c r="R151" s="1">
        <v>1.4999999999999999E-2</v>
      </c>
      <c r="S151" s="1">
        <v>2.1000000000000001E-2</v>
      </c>
      <c r="T151" s="1">
        <v>0.32400000000000001</v>
      </c>
      <c r="U151" s="1">
        <v>0.34499999999999997</v>
      </c>
      <c r="V151" s="1">
        <v>0</v>
      </c>
      <c r="W151" s="1">
        <v>1E-3</v>
      </c>
      <c r="X151" s="1">
        <v>5.0000000000000001E-3</v>
      </c>
      <c r="Y151" s="1">
        <v>8.9999999999999993E-3</v>
      </c>
      <c r="Z151" s="1">
        <v>1.0999999999999999E-2</v>
      </c>
      <c r="AA151" s="1">
        <v>1.7000000000000001E-2</v>
      </c>
      <c r="AB151" s="1">
        <v>0.54600000000000004</v>
      </c>
      <c r="AC151" s="1">
        <v>0.56799999999999995</v>
      </c>
      <c r="AD151" s="1">
        <v>0</v>
      </c>
      <c r="AE151" s="1">
        <v>1E-3</v>
      </c>
    </row>
    <row r="152" spans="1:31" x14ac:dyDescent="0.25">
      <c r="A152" t="str">
        <f>B152&amp;VLOOKUP(D152, Lookups!$E$2:$F$8,2,FALSE)&amp;C152</f>
        <v>ProstateGP referral1</v>
      </c>
      <c r="B152" t="s">
        <v>21</v>
      </c>
      <c r="C152">
        <v>1</v>
      </c>
      <c r="D152" t="s">
        <v>2</v>
      </c>
      <c r="E152" s="1">
        <v>0.13549812988779328</v>
      </c>
      <c r="F152" s="1">
        <v>1.1730703842230534E-2</v>
      </c>
      <c r="G152" s="1">
        <v>0.2806868412104726</v>
      </c>
      <c r="H152" s="1">
        <v>1.7001020061203673E-4</v>
      </c>
      <c r="I152" s="1">
        <v>7.8204692281536887E-3</v>
      </c>
      <c r="J152" s="1">
        <v>1.0540632437946278E-2</v>
      </c>
      <c r="K152" s="1">
        <v>0.55338320299217958</v>
      </c>
      <c r="L152" s="1">
        <v>1.7001020061203673E-4</v>
      </c>
      <c r="M152" s="1">
        <v>1.0000000000000002</v>
      </c>
      <c r="N152" s="2">
        <v>5882</v>
      </c>
      <c r="P152" s="1">
        <v>0.127</v>
      </c>
      <c r="Q152" s="1">
        <v>0.14399999999999999</v>
      </c>
      <c r="R152" s="1">
        <v>8.9999999999999993E-3</v>
      </c>
      <c r="S152" s="1">
        <v>1.4999999999999999E-2</v>
      </c>
      <c r="T152" s="1">
        <v>0.26900000000000002</v>
      </c>
      <c r="U152" s="1">
        <v>0.29199999999999998</v>
      </c>
      <c r="V152" s="1">
        <v>0</v>
      </c>
      <c r="W152" s="1">
        <v>1E-3</v>
      </c>
      <c r="X152" s="1">
        <v>6.0000000000000001E-3</v>
      </c>
      <c r="Y152" s="1">
        <v>0.01</v>
      </c>
      <c r="Z152" s="1">
        <v>8.0000000000000002E-3</v>
      </c>
      <c r="AA152" s="1">
        <v>1.2999999999999999E-2</v>
      </c>
      <c r="AB152" s="1">
        <v>0.54100000000000004</v>
      </c>
      <c r="AC152" s="1">
        <v>0.56599999999999995</v>
      </c>
      <c r="AD152" s="1">
        <v>0</v>
      </c>
      <c r="AE152" s="1">
        <v>1E-3</v>
      </c>
    </row>
    <row r="153" spans="1:31" x14ac:dyDescent="0.25">
      <c r="A153" t="str">
        <f>B153&amp;VLOOKUP(D153, Lookups!$E$2:$F$8,2,FALSE)&amp;C153</f>
        <v>ProstateIP &amp; OP1</v>
      </c>
      <c r="B153" t="s">
        <v>21</v>
      </c>
      <c r="C153">
        <v>1</v>
      </c>
      <c r="D153" t="s">
        <v>32</v>
      </c>
      <c r="E153" s="1">
        <v>0.12779973649538867</v>
      </c>
      <c r="F153" s="1">
        <v>1.5810276679841896E-2</v>
      </c>
      <c r="G153" s="1">
        <v>0.20619235836627142</v>
      </c>
      <c r="H153" s="1">
        <v>0</v>
      </c>
      <c r="I153" s="1">
        <v>3.2938076416337285E-3</v>
      </c>
      <c r="J153" s="1">
        <v>8.563899868247694E-3</v>
      </c>
      <c r="K153" s="1">
        <v>0.6376811594202898</v>
      </c>
      <c r="L153" s="1">
        <v>6.5876152832674575E-4</v>
      </c>
      <c r="M153" s="1">
        <v>0.99999999999999989</v>
      </c>
      <c r="N153" s="2">
        <v>1518</v>
      </c>
      <c r="P153" s="1">
        <v>0.112</v>
      </c>
      <c r="Q153" s="1">
        <v>0.14599999999999999</v>
      </c>
      <c r="R153" s="1">
        <v>1.0999999999999999E-2</v>
      </c>
      <c r="S153" s="1">
        <v>2.3E-2</v>
      </c>
      <c r="T153" s="1">
        <v>0.187</v>
      </c>
      <c r="U153" s="1">
        <v>0.22700000000000001</v>
      </c>
      <c r="V153" s="1">
        <v>0</v>
      </c>
      <c r="W153" s="1">
        <v>3.0000000000000001E-3</v>
      </c>
      <c r="X153" s="1">
        <v>1E-3</v>
      </c>
      <c r="Y153" s="1">
        <v>8.0000000000000002E-3</v>
      </c>
      <c r="Z153" s="1">
        <v>5.0000000000000001E-3</v>
      </c>
      <c r="AA153" s="1">
        <v>1.4999999999999999E-2</v>
      </c>
      <c r="AB153" s="1">
        <v>0.61299999999999999</v>
      </c>
      <c r="AC153" s="1">
        <v>0.66100000000000003</v>
      </c>
      <c r="AD153" s="1">
        <v>0</v>
      </c>
      <c r="AE153" s="1">
        <v>4.0000000000000001E-3</v>
      </c>
    </row>
    <row r="154" spans="1:31" x14ac:dyDescent="0.25">
      <c r="A154" t="str">
        <f>B154&amp;VLOOKUP(D154, Lookups!$E$2:$F$8,2,FALSE)&amp;C154</f>
        <v>ProstateEmergency presentation1</v>
      </c>
      <c r="B154" t="s">
        <v>21</v>
      </c>
      <c r="C154">
        <v>1</v>
      </c>
      <c r="D154" t="s">
        <v>33</v>
      </c>
      <c r="E154" s="1">
        <v>3.0529595015576325E-2</v>
      </c>
      <c r="F154" s="1">
        <v>2.0560747663551402E-2</v>
      </c>
      <c r="G154" s="1">
        <v>0.14828660436137073</v>
      </c>
      <c r="H154" s="1">
        <v>0</v>
      </c>
      <c r="I154" s="1">
        <v>1.2461059190031153E-3</v>
      </c>
      <c r="J154" s="1">
        <v>1.7445482866043614E-2</v>
      </c>
      <c r="K154" s="1">
        <v>0.7819314641744548</v>
      </c>
      <c r="L154" s="1">
        <v>0</v>
      </c>
      <c r="M154" s="1">
        <v>1</v>
      </c>
      <c r="N154" s="2">
        <v>1605</v>
      </c>
      <c r="P154" s="1">
        <v>2.3E-2</v>
      </c>
      <c r="Q154" s="1">
        <v>0.04</v>
      </c>
      <c r="R154" s="1">
        <v>1.4999999999999999E-2</v>
      </c>
      <c r="S154" s="1">
        <v>2.9000000000000001E-2</v>
      </c>
      <c r="T154" s="1">
        <v>0.13200000000000001</v>
      </c>
      <c r="U154" s="1">
        <v>0.16700000000000001</v>
      </c>
      <c r="V154" s="1">
        <v>0</v>
      </c>
      <c r="W154" s="1">
        <v>2E-3</v>
      </c>
      <c r="X154" s="1">
        <v>0</v>
      </c>
      <c r="Y154" s="1">
        <v>5.0000000000000001E-3</v>
      </c>
      <c r="Z154" s="1">
        <v>1.2E-2</v>
      </c>
      <c r="AA154" s="1">
        <v>2.5000000000000001E-2</v>
      </c>
      <c r="AB154" s="1">
        <v>0.76100000000000001</v>
      </c>
      <c r="AC154" s="1">
        <v>0.80100000000000005</v>
      </c>
      <c r="AD154" s="1">
        <v>0</v>
      </c>
      <c r="AE154" s="1">
        <v>2E-3</v>
      </c>
    </row>
    <row r="155" spans="1:31" x14ac:dyDescent="0.25">
      <c r="A155" t="str">
        <f>B155&amp;VLOOKUP(D155, Lookups!$E$2:$F$8,2,FALSE)&amp;C155</f>
        <v>ProstateUnknown1</v>
      </c>
      <c r="B155" t="s">
        <v>21</v>
      </c>
      <c r="C155">
        <v>1</v>
      </c>
      <c r="D155" t="s">
        <v>4</v>
      </c>
      <c r="E155" s="1">
        <v>0.13304721030042918</v>
      </c>
      <c r="F155" s="1">
        <v>2.1459227467811159E-2</v>
      </c>
      <c r="G155" s="1">
        <v>0.20600858369098712</v>
      </c>
      <c r="H155" s="1">
        <v>0</v>
      </c>
      <c r="I155" s="1">
        <v>1.2875536480686695E-2</v>
      </c>
      <c r="J155" s="1">
        <v>0</v>
      </c>
      <c r="K155" s="1">
        <v>0.62660944206008584</v>
      </c>
      <c r="L155" s="1" t="s">
        <v>137</v>
      </c>
      <c r="M155" s="1">
        <v>1</v>
      </c>
      <c r="N155" s="2">
        <v>233</v>
      </c>
      <c r="P155" s="1">
        <v>9.5000000000000001E-2</v>
      </c>
      <c r="Q155" s="1">
        <v>0.183</v>
      </c>
      <c r="R155" s="1">
        <v>8.9999999999999993E-3</v>
      </c>
      <c r="S155" s="1">
        <v>4.9000000000000002E-2</v>
      </c>
      <c r="T155" s="1">
        <v>0.159</v>
      </c>
      <c r="U155" s="1">
        <v>0.26300000000000001</v>
      </c>
      <c r="V155" s="1">
        <v>0</v>
      </c>
      <c r="W155" s="1">
        <v>1.6E-2</v>
      </c>
      <c r="X155" s="1">
        <v>4.0000000000000001E-3</v>
      </c>
      <c r="Y155" s="1">
        <v>3.6999999999999998E-2</v>
      </c>
      <c r="Z155" s="1">
        <v>0</v>
      </c>
      <c r="AA155" s="1">
        <v>1.6E-2</v>
      </c>
      <c r="AB155" s="1">
        <v>0.56299999999999994</v>
      </c>
      <c r="AC155" s="1">
        <v>0.68600000000000005</v>
      </c>
      <c r="AD155" s="1"/>
      <c r="AE155" s="1"/>
    </row>
    <row r="156" spans="1:31" x14ac:dyDescent="0.25">
      <c r="A156" t="str">
        <f>B156&amp;VLOOKUP(D156, Lookups!$E$2:$F$8,2,FALSE)&amp;C156</f>
        <v>ProstateAll Routes1</v>
      </c>
      <c r="B156" t="s">
        <v>21</v>
      </c>
      <c r="C156">
        <v>1</v>
      </c>
      <c r="D156" t="s">
        <v>34</v>
      </c>
      <c r="E156" s="1">
        <v>9.5235208535402516E-2</v>
      </c>
      <c r="F156" s="1">
        <v>1.5882638215324926E-2</v>
      </c>
      <c r="G156" s="1">
        <v>0.28352327837051405</v>
      </c>
      <c r="H156" s="1">
        <v>3.0310378273520856E-4</v>
      </c>
      <c r="I156" s="1">
        <v>6.4864209505334624E-3</v>
      </c>
      <c r="J156" s="1">
        <v>1.2366634335596509E-2</v>
      </c>
      <c r="K156" s="1">
        <v>0.58602085354025213</v>
      </c>
      <c r="L156" s="1">
        <v>1.8186226964112513E-4</v>
      </c>
      <c r="M156" s="1">
        <v>0.99999999999999989</v>
      </c>
      <c r="N156" s="2">
        <v>16496</v>
      </c>
      <c r="P156" s="1">
        <v>9.0999999999999998E-2</v>
      </c>
      <c r="Q156" s="1">
        <v>0.1</v>
      </c>
      <c r="R156" s="1">
        <v>1.4E-2</v>
      </c>
      <c r="S156" s="1">
        <v>1.7999999999999999E-2</v>
      </c>
      <c r="T156" s="1">
        <v>0.27700000000000002</v>
      </c>
      <c r="U156" s="1">
        <v>0.28999999999999998</v>
      </c>
      <c r="V156" s="1">
        <v>0</v>
      </c>
      <c r="W156" s="1">
        <v>1E-3</v>
      </c>
      <c r="X156" s="1">
        <v>5.0000000000000001E-3</v>
      </c>
      <c r="Y156" s="1">
        <v>8.0000000000000002E-3</v>
      </c>
      <c r="Z156" s="1">
        <v>1.0999999999999999E-2</v>
      </c>
      <c r="AA156" s="1">
        <v>1.4E-2</v>
      </c>
      <c r="AB156" s="1">
        <v>0.57799999999999996</v>
      </c>
      <c r="AC156" s="1">
        <v>0.59399999999999997</v>
      </c>
      <c r="AD156" s="1">
        <v>0</v>
      </c>
      <c r="AE156" s="1">
        <v>1E-3</v>
      </c>
    </row>
    <row r="157" spans="1:31" x14ac:dyDescent="0.25">
      <c r="A157" t="str">
        <f>B157&amp;VLOOKUP(D157, Lookups!$E$2:$F$8,2,FALSE)&amp;C157</f>
        <v>ProstateScreen detected2</v>
      </c>
      <c r="B157" t="s">
        <v>21</v>
      </c>
      <c r="C157">
        <v>2</v>
      </c>
      <c r="D157" t="s">
        <v>30</v>
      </c>
      <c r="E157" s="1" t="s">
        <v>137</v>
      </c>
      <c r="F157" s="1" t="s">
        <v>137</v>
      </c>
      <c r="G157" s="1" t="s">
        <v>137</v>
      </c>
      <c r="H157" s="1" t="s">
        <v>137</v>
      </c>
      <c r="I157" s="1" t="s">
        <v>137</v>
      </c>
      <c r="J157" s="1" t="s">
        <v>137</v>
      </c>
      <c r="K157" s="1" t="s">
        <v>137</v>
      </c>
      <c r="L157" s="1" t="s">
        <v>137</v>
      </c>
      <c r="M157" s="1">
        <v>0</v>
      </c>
      <c r="N157" s="2">
        <v>0</v>
      </c>
      <c r="P157" s="1"/>
      <c r="Q157" s="1"/>
      <c r="R157" s="1"/>
      <c r="S157" s="1"/>
      <c r="T157" s="1"/>
      <c r="U157" s="1"/>
      <c r="V157" s="1"/>
      <c r="W157" s="1"/>
      <c r="X157" s="1"/>
      <c r="Y157" s="1"/>
      <c r="Z157" s="1"/>
      <c r="AA157" s="1"/>
      <c r="AB157" s="1"/>
      <c r="AC157" s="1"/>
      <c r="AD157" s="1"/>
      <c r="AE157" s="1"/>
    </row>
    <row r="158" spans="1:31" x14ac:dyDescent="0.25">
      <c r="A158" t="str">
        <f>B158&amp;VLOOKUP(D158, Lookups!$E$2:$F$8,2,FALSE)&amp;C158</f>
        <v>ProstateTwo Week Wait2</v>
      </c>
      <c r="B158" t="s">
        <v>21</v>
      </c>
      <c r="C158">
        <v>2</v>
      </c>
      <c r="D158" t="s">
        <v>31</v>
      </c>
      <c r="E158" s="1">
        <v>4.3491767629698662E-2</v>
      </c>
      <c r="F158" s="1">
        <v>1.6154085119602361E-2</v>
      </c>
      <c r="G158" s="1">
        <v>0.32463497980739359</v>
      </c>
      <c r="H158" s="1">
        <v>6.2131096613855233E-4</v>
      </c>
      <c r="I158" s="1">
        <v>4.3491767629698667E-3</v>
      </c>
      <c r="J158" s="1">
        <v>1.2736874805840324E-2</v>
      </c>
      <c r="K158" s="1">
        <v>0.59801180490835659</v>
      </c>
      <c r="L158" s="1">
        <v>0</v>
      </c>
      <c r="M158" s="1">
        <v>1</v>
      </c>
      <c r="N158" s="2">
        <v>3219</v>
      </c>
      <c r="P158" s="1">
        <v>3.6999999999999998E-2</v>
      </c>
      <c r="Q158" s="1">
        <v>5.0999999999999997E-2</v>
      </c>
      <c r="R158" s="1">
        <v>1.2E-2</v>
      </c>
      <c r="S158" s="1">
        <v>2.1000000000000001E-2</v>
      </c>
      <c r="T158" s="1">
        <v>0.309</v>
      </c>
      <c r="U158" s="1">
        <v>0.34100000000000003</v>
      </c>
      <c r="V158" s="1">
        <v>0</v>
      </c>
      <c r="W158" s="1">
        <v>2E-3</v>
      </c>
      <c r="X158" s="1">
        <v>3.0000000000000001E-3</v>
      </c>
      <c r="Y158" s="1">
        <v>7.0000000000000001E-3</v>
      </c>
      <c r="Z158" s="1">
        <v>8.9999999999999993E-3</v>
      </c>
      <c r="AA158" s="1">
        <v>1.7000000000000001E-2</v>
      </c>
      <c r="AB158" s="1">
        <v>0.58099999999999996</v>
      </c>
      <c r="AC158" s="1">
        <v>0.61499999999999999</v>
      </c>
      <c r="AD158" s="1">
        <v>0</v>
      </c>
      <c r="AE158" s="1">
        <v>1E-3</v>
      </c>
    </row>
    <row r="159" spans="1:31" x14ac:dyDescent="0.25">
      <c r="A159" t="str">
        <f>B159&amp;VLOOKUP(D159, Lookups!$E$2:$F$8,2,FALSE)&amp;C159</f>
        <v>ProstateGP referral2</v>
      </c>
      <c r="B159" t="s">
        <v>21</v>
      </c>
      <c r="C159">
        <v>2</v>
      </c>
      <c r="D159" t="s">
        <v>2</v>
      </c>
      <c r="E159" s="1">
        <v>0.1234443323242516</v>
      </c>
      <c r="F159" s="1">
        <v>1.6145307769929364E-2</v>
      </c>
      <c r="G159" s="1">
        <v>0.2529431550622267</v>
      </c>
      <c r="H159" s="1">
        <v>1.0090817356205853E-3</v>
      </c>
      <c r="I159" s="1">
        <v>5.0454086781029266E-3</v>
      </c>
      <c r="J159" s="1">
        <v>1.2781701984527414E-2</v>
      </c>
      <c r="K159" s="1">
        <v>0.58863101244534144</v>
      </c>
      <c r="L159" s="1">
        <v>0</v>
      </c>
      <c r="M159" s="1">
        <v>1</v>
      </c>
      <c r="N159" s="2">
        <v>2973</v>
      </c>
      <c r="P159" s="1">
        <v>0.112</v>
      </c>
      <c r="Q159" s="1">
        <v>0.13600000000000001</v>
      </c>
      <c r="R159" s="1">
        <v>1.2E-2</v>
      </c>
      <c r="S159" s="1">
        <v>2.1000000000000001E-2</v>
      </c>
      <c r="T159" s="1">
        <v>0.23799999999999999</v>
      </c>
      <c r="U159" s="1">
        <v>0.26900000000000002</v>
      </c>
      <c r="V159" s="1">
        <v>0</v>
      </c>
      <c r="W159" s="1">
        <v>3.0000000000000001E-3</v>
      </c>
      <c r="X159" s="1">
        <v>3.0000000000000001E-3</v>
      </c>
      <c r="Y159" s="1">
        <v>8.0000000000000002E-3</v>
      </c>
      <c r="Z159" s="1">
        <v>8.9999999999999993E-3</v>
      </c>
      <c r="AA159" s="1">
        <v>1.7000000000000001E-2</v>
      </c>
      <c r="AB159" s="1">
        <v>0.57099999999999995</v>
      </c>
      <c r="AC159" s="1">
        <v>0.60599999999999998</v>
      </c>
      <c r="AD159" s="1">
        <v>0</v>
      </c>
      <c r="AE159" s="1">
        <v>1E-3</v>
      </c>
    </row>
    <row r="160" spans="1:31" x14ac:dyDescent="0.25">
      <c r="A160" t="str">
        <f>B160&amp;VLOOKUP(D160, Lookups!$E$2:$F$8,2,FALSE)&amp;C160</f>
        <v>ProstateIP &amp; OP2</v>
      </c>
      <c r="B160" t="s">
        <v>21</v>
      </c>
      <c r="C160">
        <v>2</v>
      </c>
      <c r="D160" t="s">
        <v>32</v>
      </c>
      <c r="E160" s="1">
        <v>0.18973862536302033</v>
      </c>
      <c r="F160" s="1">
        <v>2.1297192642787996E-2</v>
      </c>
      <c r="G160" s="1">
        <v>0.19167473378509198</v>
      </c>
      <c r="H160" s="1">
        <v>1.9361084220716361E-3</v>
      </c>
      <c r="I160" s="1">
        <v>3.8722168441432721E-3</v>
      </c>
      <c r="J160" s="1">
        <v>1.5488867376573089E-2</v>
      </c>
      <c r="K160" s="1">
        <v>0.57502420135527588</v>
      </c>
      <c r="L160" s="1">
        <v>9.6805421103581804E-4</v>
      </c>
      <c r="M160" s="1">
        <v>1</v>
      </c>
      <c r="N160" s="2">
        <v>1033</v>
      </c>
      <c r="P160" s="1">
        <v>0.16700000000000001</v>
      </c>
      <c r="Q160" s="1">
        <v>0.215</v>
      </c>
      <c r="R160" s="1">
        <v>1.4E-2</v>
      </c>
      <c r="S160" s="1">
        <v>3.2000000000000001E-2</v>
      </c>
      <c r="T160" s="1">
        <v>0.16900000000000001</v>
      </c>
      <c r="U160" s="1">
        <v>0.217</v>
      </c>
      <c r="V160" s="1">
        <v>1E-3</v>
      </c>
      <c r="W160" s="1">
        <v>7.0000000000000001E-3</v>
      </c>
      <c r="X160" s="1">
        <v>2E-3</v>
      </c>
      <c r="Y160" s="1">
        <v>0.01</v>
      </c>
      <c r="Z160" s="1">
        <v>0.01</v>
      </c>
      <c r="AA160" s="1">
        <v>2.5000000000000001E-2</v>
      </c>
      <c r="AB160" s="1">
        <v>0.54500000000000004</v>
      </c>
      <c r="AC160" s="1">
        <v>0.60499999999999998</v>
      </c>
      <c r="AD160" s="1">
        <v>0</v>
      </c>
      <c r="AE160" s="1">
        <v>5.0000000000000001E-3</v>
      </c>
    </row>
    <row r="161" spans="1:31" x14ac:dyDescent="0.25">
      <c r="A161" t="str">
        <f>B161&amp;VLOOKUP(D161, Lookups!$E$2:$F$8,2,FALSE)&amp;C161</f>
        <v>ProstateEmergency presentation2</v>
      </c>
      <c r="B161" t="s">
        <v>21</v>
      </c>
      <c r="C161">
        <v>2</v>
      </c>
      <c r="D161" t="s">
        <v>33</v>
      </c>
      <c r="E161" s="1">
        <v>2.63671875E-2</v>
      </c>
      <c r="F161" s="1">
        <v>1.66015625E-2</v>
      </c>
      <c r="G161" s="1">
        <v>0.1201171875</v>
      </c>
      <c r="H161" s="1">
        <v>0</v>
      </c>
      <c r="I161" s="1">
        <v>1.953125E-3</v>
      </c>
      <c r="J161" s="1">
        <v>4.8828125E-3</v>
      </c>
      <c r="K161" s="1">
        <v>0.830078125</v>
      </c>
      <c r="L161" s="1">
        <v>0</v>
      </c>
      <c r="M161" s="1">
        <v>1</v>
      </c>
      <c r="N161" s="2">
        <v>1024</v>
      </c>
      <c r="P161" s="1">
        <v>1.7999999999999999E-2</v>
      </c>
      <c r="Q161" s="1">
        <v>3.7999999999999999E-2</v>
      </c>
      <c r="R161" s="1">
        <v>0.01</v>
      </c>
      <c r="S161" s="1">
        <v>2.5999999999999999E-2</v>
      </c>
      <c r="T161" s="1">
        <v>0.10199999999999999</v>
      </c>
      <c r="U161" s="1">
        <v>0.14099999999999999</v>
      </c>
      <c r="V161" s="1">
        <v>0</v>
      </c>
      <c r="W161" s="1">
        <v>4.0000000000000001E-3</v>
      </c>
      <c r="X161" s="1">
        <v>1E-3</v>
      </c>
      <c r="Y161" s="1">
        <v>7.0000000000000001E-3</v>
      </c>
      <c r="Z161" s="1">
        <v>2E-3</v>
      </c>
      <c r="AA161" s="1">
        <v>1.0999999999999999E-2</v>
      </c>
      <c r="AB161" s="1">
        <v>0.80600000000000005</v>
      </c>
      <c r="AC161" s="1">
        <v>0.85199999999999998</v>
      </c>
      <c r="AD161" s="1">
        <v>0</v>
      </c>
      <c r="AE161" s="1">
        <v>4.0000000000000001E-3</v>
      </c>
    </row>
    <row r="162" spans="1:31" x14ac:dyDescent="0.25">
      <c r="A162" t="str">
        <f>B162&amp;VLOOKUP(D162, Lookups!$E$2:$F$8,2,FALSE)&amp;C162</f>
        <v>ProstateUnknown2</v>
      </c>
      <c r="B162" t="s">
        <v>21</v>
      </c>
      <c r="C162">
        <v>2</v>
      </c>
      <c r="D162" t="s">
        <v>4</v>
      </c>
      <c r="E162" s="1">
        <v>9.2436974789915971E-2</v>
      </c>
      <c r="F162" s="1">
        <v>8.4033613445378148E-3</v>
      </c>
      <c r="G162" s="1">
        <v>0.22689075630252101</v>
      </c>
      <c r="H162" s="1">
        <v>0</v>
      </c>
      <c r="I162" s="1">
        <v>8.4033613445378148E-3</v>
      </c>
      <c r="J162" s="1">
        <v>8.4033613445378148E-3</v>
      </c>
      <c r="K162" s="1">
        <v>0.65546218487394958</v>
      </c>
      <c r="L162" s="1" t="s">
        <v>137</v>
      </c>
      <c r="M162" s="1">
        <v>1</v>
      </c>
      <c r="N162" s="2">
        <v>119</v>
      </c>
      <c r="P162" s="1">
        <v>5.1999999999999998E-2</v>
      </c>
      <c r="Q162" s="1">
        <v>0.158</v>
      </c>
      <c r="R162" s="1">
        <v>1E-3</v>
      </c>
      <c r="S162" s="1">
        <v>4.5999999999999999E-2</v>
      </c>
      <c r="T162" s="1">
        <v>0.161</v>
      </c>
      <c r="U162" s="1">
        <v>0.31</v>
      </c>
      <c r="V162" s="1">
        <v>0</v>
      </c>
      <c r="W162" s="1">
        <v>3.1E-2</v>
      </c>
      <c r="X162" s="1">
        <v>1E-3</v>
      </c>
      <c r="Y162" s="1">
        <v>4.5999999999999999E-2</v>
      </c>
      <c r="Z162" s="1">
        <v>1E-3</v>
      </c>
      <c r="AA162" s="1">
        <v>4.5999999999999999E-2</v>
      </c>
      <c r="AB162" s="1">
        <v>0.56599999999999995</v>
      </c>
      <c r="AC162" s="1">
        <v>0.73499999999999999</v>
      </c>
      <c r="AD162" s="1"/>
      <c r="AE162" s="1"/>
    </row>
    <row r="163" spans="1:31" x14ac:dyDescent="0.25">
      <c r="A163" t="str">
        <f>B163&amp;VLOOKUP(D163, Lookups!$E$2:$F$8,2,FALSE)&amp;C163</f>
        <v>ProstateAll Routes2</v>
      </c>
      <c r="B163" t="s">
        <v>21</v>
      </c>
      <c r="C163">
        <v>2</v>
      </c>
      <c r="D163" t="s">
        <v>34</v>
      </c>
      <c r="E163" s="1">
        <v>8.8551625239005741E-2</v>
      </c>
      <c r="F163" s="1">
        <v>1.6730401529636712E-2</v>
      </c>
      <c r="G163" s="1">
        <v>0.25633365200764818</v>
      </c>
      <c r="H163" s="1">
        <v>8.3652007648183562E-4</v>
      </c>
      <c r="I163" s="1">
        <v>4.3021032504780114E-3</v>
      </c>
      <c r="J163" s="1">
        <v>1.2069789674952199E-2</v>
      </c>
      <c r="K163" s="1">
        <v>0.62105640535372852</v>
      </c>
      <c r="L163" s="1">
        <v>1.1950286806883365E-4</v>
      </c>
      <c r="M163" s="1">
        <v>1.0000000000000002</v>
      </c>
      <c r="N163" s="2">
        <v>8368</v>
      </c>
      <c r="P163" s="1">
        <v>8.3000000000000004E-2</v>
      </c>
      <c r="Q163" s="1">
        <v>9.5000000000000001E-2</v>
      </c>
      <c r="R163" s="1">
        <v>1.4E-2</v>
      </c>
      <c r="S163" s="1">
        <v>0.02</v>
      </c>
      <c r="T163" s="1">
        <v>0.247</v>
      </c>
      <c r="U163" s="1">
        <v>0.26600000000000001</v>
      </c>
      <c r="V163" s="1">
        <v>0</v>
      </c>
      <c r="W163" s="1">
        <v>2E-3</v>
      </c>
      <c r="X163" s="1">
        <v>3.0000000000000001E-3</v>
      </c>
      <c r="Y163" s="1">
        <v>6.0000000000000001E-3</v>
      </c>
      <c r="Z163" s="1">
        <v>0.01</v>
      </c>
      <c r="AA163" s="1">
        <v>1.4999999999999999E-2</v>
      </c>
      <c r="AB163" s="1">
        <v>0.61099999999999999</v>
      </c>
      <c r="AC163" s="1">
        <v>0.63100000000000001</v>
      </c>
      <c r="AD163" s="1">
        <v>0</v>
      </c>
      <c r="AE163" s="1">
        <v>1E-3</v>
      </c>
    </row>
    <row r="164" spans="1:31" x14ac:dyDescent="0.25">
      <c r="A164" t="str">
        <f>B164&amp;VLOOKUP(D164, Lookups!$E$2:$F$8,2,FALSE)&amp;C164</f>
        <v>ProstateScreen detected3+</v>
      </c>
      <c r="B164" t="s">
        <v>21</v>
      </c>
      <c r="C164" t="s">
        <v>40</v>
      </c>
      <c r="D164" t="s">
        <v>30</v>
      </c>
      <c r="E164" s="1" t="s">
        <v>137</v>
      </c>
      <c r="F164" s="1" t="s">
        <v>137</v>
      </c>
      <c r="G164" s="1" t="s">
        <v>137</v>
      </c>
      <c r="H164" s="1" t="s">
        <v>137</v>
      </c>
      <c r="I164" s="1" t="s">
        <v>137</v>
      </c>
      <c r="J164" s="1" t="s">
        <v>137</v>
      </c>
      <c r="K164" s="1" t="s">
        <v>137</v>
      </c>
      <c r="L164" s="1" t="s">
        <v>137</v>
      </c>
      <c r="M164" s="1">
        <v>0</v>
      </c>
      <c r="N164" s="2">
        <v>0</v>
      </c>
      <c r="P164" s="1"/>
      <c r="Q164" s="1"/>
      <c r="R164" s="1"/>
      <c r="S164" s="1"/>
      <c r="T164" s="1"/>
      <c r="U164" s="1"/>
      <c r="V164" s="1"/>
      <c r="W164" s="1"/>
      <c r="X164" s="1"/>
      <c r="Y164" s="1"/>
      <c r="Z164" s="1"/>
      <c r="AA164" s="1"/>
      <c r="AB164" s="1"/>
      <c r="AC164" s="1"/>
      <c r="AD164" s="1"/>
      <c r="AE164" s="1"/>
    </row>
    <row r="165" spans="1:31" x14ac:dyDescent="0.25">
      <c r="A165" t="str">
        <f>B165&amp;VLOOKUP(D165, Lookups!$E$2:$F$8,2,FALSE)&amp;C165</f>
        <v>ProstateTwo Week Wait3+</v>
      </c>
      <c r="B165" t="s">
        <v>21</v>
      </c>
      <c r="C165" t="s">
        <v>40</v>
      </c>
      <c r="D165" t="s">
        <v>31</v>
      </c>
      <c r="E165" s="1">
        <v>2.1331058020477817E-2</v>
      </c>
      <c r="F165" s="1">
        <v>1.6211604095563138E-2</v>
      </c>
      <c r="G165" s="1">
        <v>0.23762798634812288</v>
      </c>
      <c r="H165" s="1">
        <v>4.2662116040955632E-4</v>
      </c>
      <c r="I165" s="1">
        <v>1.7064846416382253E-3</v>
      </c>
      <c r="J165" s="1">
        <v>1.1092150170648464E-2</v>
      </c>
      <c r="K165" s="1">
        <v>0.71160409556313997</v>
      </c>
      <c r="L165" s="1">
        <v>0</v>
      </c>
      <c r="M165" s="1">
        <v>1</v>
      </c>
      <c r="N165" s="2">
        <v>2344</v>
      </c>
      <c r="P165" s="1">
        <v>1.6E-2</v>
      </c>
      <c r="Q165" s="1">
        <v>2.8000000000000001E-2</v>
      </c>
      <c r="R165" s="1">
        <v>1.2E-2</v>
      </c>
      <c r="S165" s="1">
        <v>2.1999999999999999E-2</v>
      </c>
      <c r="T165" s="1">
        <v>0.221</v>
      </c>
      <c r="U165" s="1">
        <v>0.255</v>
      </c>
      <c r="V165" s="1">
        <v>0</v>
      </c>
      <c r="W165" s="1">
        <v>2E-3</v>
      </c>
      <c r="X165" s="1">
        <v>1E-3</v>
      </c>
      <c r="Y165" s="1">
        <v>4.0000000000000001E-3</v>
      </c>
      <c r="Z165" s="1">
        <v>8.0000000000000002E-3</v>
      </c>
      <c r="AA165" s="1">
        <v>1.6E-2</v>
      </c>
      <c r="AB165" s="1">
        <v>0.69299999999999995</v>
      </c>
      <c r="AC165" s="1">
        <v>0.73</v>
      </c>
      <c r="AD165" s="1">
        <v>0</v>
      </c>
      <c r="AE165" s="1">
        <v>2E-3</v>
      </c>
    </row>
    <row r="166" spans="1:31" x14ac:dyDescent="0.25">
      <c r="A166" t="str">
        <f>B166&amp;VLOOKUP(D166, Lookups!$E$2:$F$8,2,FALSE)&amp;C166</f>
        <v>ProstateGP referral3+</v>
      </c>
      <c r="B166" t="s">
        <v>21</v>
      </c>
      <c r="C166" t="s">
        <v>40</v>
      </c>
      <c r="D166" t="s">
        <v>2</v>
      </c>
      <c r="E166" s="1">
        <v>8.0845199816260913E-2</v>
      </c>
      <c r="F166" s="1">
        <v>1.3321084060633899E-2</v>
      </c>
      <c r="G166" s="1">
        <v>0.20808451998162608</v>
      </c>
      <c r="H166" s="1">
        <v>4.5934772622875517E-4</v>
      </c>
      <c r="I166" s="1">
        <v>3.2154340836012861E-3</v>
      </c>
      <c r="J166" s="1">
        <v>6.4308681672025723E-3</v>
      </c>
      <c r="K166" s="1">
        <v>0.68764354616444645</v>
      </c>
      <c r="L166" s="1">
        <v>0</v>
      </c>
      <c r="M166" s="1">
        <v>1</v>
      </c>
      <c r="N166" s="2">
        <v>2177</v>
      </c>
      <c r="P166" s="1">
        <v>7.0000000000000007E-2</v>
      </c>
      <c r="Q166" s="1">
        <v>9.2999999999999999E-2</v>
      </c>
      <c r="R166" s="1">
        <v>8.9999999999999993E-3</v>
      </c>
      <c r="S166" s="1">
        <v>1.9E-2</v>
      </c>
      <c r="T166" s="1">
        <v>0.192</v>
      </c>
      <c r="U166" s="1">
        <v>0.22600000000000001</v>
      </c>
      <c r="V166" s="1">
        <v>0</v>
      </c>
      <c r="W166" s="1">
        <v>3.0000000000000001E-3</v>
      </c>
      <c r="X166" s="1">
        <v>2E-3</v>
      </c>
      <c r="Y166" s="1">
        <v>7.0000000000000001E-3</v>
      </c>
      <c r="Z166" s="1">
        <v>4.0000000000000001E-3</v>
      </c>
      <c r="AA166" s="1">
        <v>1.0999999999999999E-2</v>
      </c>
      <c r="AB166" s="1">
        <v>0.66800000000000004</v>
      </c>
      <c r="AC166" s="1">
        <v>0.70699999999999996</v>
      </c>
      <c r="AD166" s="1">
        <v>0</v>
      </c>
      <c r="AE166" s="1">
        <v>2E-3</v>
      </c>
    </row>
    <row r="167" spans="1:31" x14ac:dyDescent="0.25">
      <c r="A167" t="str">
        <f>B167&amp;VLOOKUP(D167, Lookups!$E$2:$F$8,2,FALSE)&amp;C167</f>
        <v>ProstateIP &amp; OP3+</v>
      </c>
      <c r="B167" t="s">
        <v>21</v>
      </c>
      <c r="C167" t="s">
        <v>40</v>
      </c>
      <c r="D167" t="s">
        <v>32</v>
      </c>
      <c r="E167" s="1">
        <v>0.1267080745341615</v>
      </c>
      <c r="F167" s="1">
        <v>1.3664596273291925E-2</v>
      </c>
      <c r="G167" s="1">
        <v>0.1639751552795031</v>
      </c>
      <c r="H167" s="1">
        <v>6.2111801242236021E-3</v>
      </c>
      <c r="I167" s="1">
        <v>1.2422360248447205E-3</v>
      </c>
      <c r="J167" s="1">
        <v>6.2111801242236021E-3</v>
      </c>
      <c r="K167" s="1">
        <v>0.68074534161490685</v>
      </c>
      <c r="L167" s="1">
        <v>1.2422360248447205E-3</v>
      </c>
      <c r="M167" s="1">
        <v>1</v>
      </c>
      <c r="N167" s="2">
        <v>805</v>
      </c>
      <c r="P167" s="1">
        <v>0.105</v>
      </c>
      <c r="Q167" s="1">
        <v>0.151</v>
      </c>
      <c r="R167" s="1">
        <v>8.0000000000000002E-3</v>
      </c>
      <c r="S167" s="1">
        <v>2.4E-2</v>
      </c>
      <c r="T167" s="1">
        <v>0.14000000000000001</v>
      </c>
      <c r="U167" s="1">
        <v>0.191</v>
      </c>
      <c r="V167" s="1">
        <v>3.0000000000000001E-3</v>
      </c>
      <c r="W167" s="1">
        <v>1.4E-2</v>
      </c>
      <c r="X167" s="1">
        <v>0</v>
      </c>
      <c r="Y167" s="1">
        <v>7.0000000000000001E-3</v>
      </c>
      <c r="Z167" s="1">
        <v>3.0000000000000001E-3</v>
      </c>
      <c r="AA167" s="1">
        <v>1.4E-2</v>
      </c>
      <c r="AB167" s="1">
        <v>0.64800000000000002</v>
      </c>
      <c r="AC167" s="1">
        <v>0.71199999999999997</v>
      </c>
      <c r="AD167" s="1">
        <v>0</v>
      </c>
      <c r="AE167" s="1">
        <v>7.0000000000000001E-3</v>
      </c>
    </row>
    <row r="168" spans="1:31" x14ac:dyDescent="0.25">
      <c r="A168" t="str">
        <f>B168&amp;VLOOKUP(D168, Lookups!$E$2:$F$8,2,FALSE)&amp;C168</f>
        <v>ProstateEmergency presentation3+</v>
      </c>
      <c r="B168" t="s">
        <v>21</v>
      </c>
      <c r="C168" t="s">
        <v>40</v>
      </c>
      <c r="D168" t="s">
        <v>33</v>
      </c>
      <c r="E168" s="1">
        <v>1.6528925619834711E-2</v>
      </c>
      <c r="F168" s="1">
        <v>1.5777610818933134E-2</v>
      </c>
      <c r="G168" s="1">
        <v>8.1141998497370402E-2</v>
      </c>
      <c r="H168" s="1">
        <v>0</v>
      </c>
      <c r="I168" s="1">
        <v>0</v>
      </c>
      <c r="J168" s="1">
        <v>8.2644628099173556E-3</v>
      </c>
      <c r="K168" s="1">
        <v>0.8782870022539444</v>
      </c>
      <c r="L168" s="1">
        <v>0</v>
      </c>
      <c r="M168" s="1">
        <v>1</v>
      </c>
      <c r="N168" s="2">
        <v>1331</v>
      </c>
      <c r="P168" s="1">
        <v>1.0999999999999999E-2</v>
      </c>
      <c r="Q168" s="1">
        <v>2.5000000000000001E-2</v>
      </c>
      <c r="R168" s="1">
        <v>0.01</v>
      </c>
      <c r="S168" s="1">
        <v>2.4E-2</v>
      </c>
      <c r="T168" s="1">
        <v>6.8000000000000005E-2</v>
      </c>
      <c r="U168" s="1">
        <v>9.7000000000000003E-2</v>
      </c>
      <c r="V168" s="1">
        <v>0</v>
      </c>
      <c r="W168" s="1">
        <v>3.0000000000000001E-3</v>
      </c>
      <c r="X168" s="1">
        <v>0</v>
      </c>
      <c r="Y168" s="1">
        <v>3.0000000000000001E-3</v>
      </c>
      <c r="Z168" s="1">
        <v>5.0000000000000001E-3</v>
      </c>
      <c r="AA168" s="1">
        <v>1.4999999999999999E-2</v>
      </c>
      <c r="AB168" s="1">
        <v>0.86</v>
      </c>
      <c r="AC168" s="1">
        <v>0.89500000000000002</v>
      </c>
      <c r="AD168" s="1">
        <v>0</v>
      </c>
      <c r="AE168" s="1">
        <v>3.0000000000000001E-3</v>
      </c>
    </row>
    <row r="169" spans="1:31" x14ac:dyDescent="0.25">
      <c r="A169" t="str">
        <f>B169&amp;VLOOKUP(D169, Lookups!$E$2:$F$8,2,FALSE)&amp;C169</f>
        <v>ProstateUnknown3+</v>
      </c>
      <c r="B169" t="s">
        <v>21</v>
      </c>
      <c r="C169" t="s">
        <v>40</v>
      </c>
      <c r="D169" t="s">
        <v>4</v>
      </c>
      <c r="E169" s="1">
        <v>1.6949152542372881E-2</v>
      </c>
      <c r="F169" s="1">
        <v>1.6949152542372881E-2</v>
      </c>
      <c r="G169" s="1">
        <v>0.11864406779661017</v>
      </c>
      <c r="H169" s="1">
        <v>0</v>
      </c>
      <c r="I169" s="1">
        <v>0</v>
      </c>
      <c r="J169" s="1">
        <v>0</v>
      </c>
      <c r="K169" s="1">
        <v>0.84745762711864403</v>
      </c>
      <c r="L169" s="1" t="s">
        <v>137</v>
      </c>
      <c r="M169" s="1">
        <v>1</v>
      </c>
      <c r="N169" s="2">
        <v>59</v>
      </c>
      <c r="P169" s="1">
        <v>3.0000000000000001E-3</v>
      </c>
      <c r="Q169" s="1">
        <v>0.09</v>
      </c>
      <c r="R169" s="1">
        <v>3.0000000000000001E-3</v>
      </c>
      <c r="S169" s="1">
        <v>0.09</v>
      </c>
      <c r="T169" s="1">
        <v>5.8999999999999997E-2</v>
      </c>
      <c r="U169" s="1">
        <v>0.22500000000000001</v>
      </c>
      <c r="V169" s="1">
        <v>0</v>
      </c>
      <c r="W169" s="1">
        <v>6.0999999999999999E-2</v>
      </c>
      <c r="X169" s="1">
        <v>0</v>
      </c>
      <c r="Y169" s="1">
        <v>6.0999999999999999E-2</v>
      </c>
      <c r="Z169" s="1">
        <v>0</v>
      </c>
      <c r="AA169" s="1">
        <v>6.0999999999999999E-2</v>
      </c>
      <c r="AB169" s="1">
        <v>0.73499999999999999</v>
      </c>
      <c r="AC169" s="1">
        <v>0.91800000000000004</v>
      </c>
      <c r="AD169" s="1"/>
      <c r="AE169" s="1"/>
    </row>
    <row r="170" spans="1:31" x14ac:dyDescent="0.25">
      <c r="A170" t="str">
        <f>B170&amp;VLOOKUP(D170, Lookups!$E$2:$F$8,2,FALSE)&amp;C170</f>
        <v>ProstateAll Routes3+</v>
      </c>
      <c r="B170" t="s">
        <v>21</v>
      </c>
      <c r="C170" t="s">
        <v>40</v>
      </c>
      <c r="D170" t="s">
        <v>34</v>
      </c>
      <c r="E170" s="1">
        <v>5.2263251935675999E-2</v>
      </c>
      <c r="F170" s="1">
        <v>1.4889815366289458E-2</v>
      </c>
      <c r="G170" s="1">
        <v>0.18716497915425848</v>
      </c>
      <c r="H170" s="1">
        <v>1.0422870756402621E-3</v>
      </c>
      <c r="I170" s="1">
        <v>1.7867778439547349E-3</v>
      </c>
      <c r="J170" s="1">
        <v>8.3382966051220968E-3</v>
      </c>
      <c r="K170" s="1">
        <v>0.73436569386539607</v>
      </c>
      <c r="L170" s="1">
        <v>1.4889815366289459E-4</v>
      </c>
      <c r="M170" s="1">
        <v>1</v>
      </c>
      <c r="N170" s="2">
        <v>6716</v>
      </c>
      <c r="P170" s="1">
        <v>4.7E-2</v>
      </c>
      <c r="Q170" s="1">
        <v>5.8000000000000003E-2</v>
      </c>
      <c r="R170" s="1">
        <v>1.2E-2</v>
      </c>
      <c r="S170" s="1">
        <v>1.7999999999999999E-2</v>
      </c>
      <c r="T170" s="1">
        <v>0.17799999999999999</v>
      </c>
      <c r="U170" s="1">
        <v>0.19700000000000001</v>
      </c>
      <c r="V170" s="1">
        <v>1E-3</v>
      </c>
      <c r="W170" s="1">
        <v>2E-3</v>
      </c>
      <c r="X170" s="1">
        <v>1E-3</v>
      </c>
      <c r="Y170" s="1">
        <v>3.0000000000000001E-3</v>
      </c>
      <c r="Z170" s="1">
        <v>6.0000000000000001E-3</v>
      </c>
      <c r="AA170" s="1">
        <v>1.0999999999999999E-2</v>
      </c>
      <c r="AB170" s="1">
        <v>0.72399999999999998</v>
      </c>
      <c r="AC170" s="1">
        <v>0.745</v>
      </c>
      <c r="AD170" s="1">
        <v>0</v>
      </c>
      <c r="AE170" s="1">
        <v>1E-3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19"/>
  <sheetViews>
    <sheetView workbookViewId="0"/>
  </sheetViews>
  <sheetFormatPr defaultRowHeight="15" x14ac:dyDescent="0.25"/>
  <cols>
    <col min="3" max="3" width="23" bestFit="1" customWidth="1"/>
    <col min="5" max="5" width="24.140625" bestFit="1" customWidth="1"/>
    <col min="6" max="6" width="23" bestFit="1" customWidth="1"/>
    <col min="7" max="7" width="23" customWidth="1"/>
    <col min="8" max="8" width="84.85546875" bestFit="1" customWidth="1"/>
  </cols>
  <sheetData>
    <row r="1" spans="1:8" x14ac:dyDescent="0.25">
      <c r="A1" t="s">
        <v>15</v>
      </c>
      <c r="C1" t="s">
        <v>37</v>
      </c>
      <c r="E1" t="s">
        <v>35</v>
      </c>
      <c r="F1" t="s">
        <v>36</v>
      </c>
      <c r="H1" t="s">
        <v>42</v>
      </c>
    </row>
    <row r="2" spans="1:8" x14ac:dyDescent="0.25">
      <c r="A2" t="s">
        <v>16</v>
      </c>
      <c r="C2" t="s">
        <v>0</v>
      </c>
      <c r="E2" t="s">
        <v>30</v>
      </c>
      <c r="F2" t="s">
        <v>0</v>
      </c>
      <c r="H2" t="s">
        <v>43</v>
      </c>
    </row>
    <row r="3" spans="1:8" x14ac:dyDescent="0.25">
      <c r="A3" t="s">
        <v>17</v>
      </c>
      <c r="C3" t="s">
        <v>1</v>
      </c>
      <c r="E3" t="s">
        <v>31</v>
      </c>
      <c r="F3" t="s">
        <v>1</v>
      </c>
      <c r="H3" t="str">
        <f>"Treatment type by Route, 2013-2015, "&amp;Modality!$Y$7&amp;", England"</f>
        <v>Treatment type by Route, 2013-2015, Breast, England</v>
      </c>
    </row>
    <row r="4" spans="1:8" x14ac:dyDescent="0.25">
      <c r="A4" t="s">
        <v>18</v>
      </c>
      <c r="C4" t="s">
        <v>2</v>
      </c>
      <c r="E4" t="s">
        <v>2</v>
      </c>
      <c r="F4" t="s">
        <v>2</v>
      </c>
    </row>
    <row r="5" spans="1:8" x14ac:dyDescent="0.25">
      <c r="A5" t="s">
        <v>19</v>
      </c>
      <c r="C5" t="s">
        <v>32</v>
      </c>
      <c r="E5" t="s">
        <v>32</v>
      </c>
      <c r="F5" t="s">
        <v>32</v>
      </c>
      <c r="H5" t="s">
        <v>44</v>
      </c>
    </row>
    <row r="6" spans="1:8" x14ac:dyDescent="0.25">
      <c r="A6" t="s">
        <v>20</v>
      </c>
      <c r="C6" t="s">
        <v>3</v>
      </c>
      <c r="E6" t="s">
        <v>33</v>
      </c>
      <c r="F6" t="s">
        <v>3</v>
      </c>
      <c r="H6" s="24" t="str">
        <f>"Treatment type by Route and stage, 2013-2015, "&amp;Stage!D6&amp;", England"</f>
        <v>Treatment type by Route and stage, 2013-2015, Breast, England</v>
      </c>
    </row>
    <row r="7" spans="1:8" x14ac:dyDescent="0.25">
      <c r="A7" t="s">
        <v>21</v>
      </c>
      <c r="C7" t="s">
        <v>4</v>
      </c>
      <c r="E7" t="s">
        <v>4</v>
      </c>
      <c r="F7" t="s">
        <v>4</v>
      </c>
      <c r="H7" s="24" t="str">
        <f>"Treatment type by stage and Route, 2013-2015, "&amp;Stage!D6&amp;", England"</f>
        <v>Treatment type by stage and Route, 2013-2015, Breast, England</v>
      </c>
    </row>
    <row r="8" spans="1:8" x14ac:dyDescent="0.25">
      <c r="C8" t="s">
        <v>34</v>
      </c>
      <c r="E8" t="s">
        <v>34</v>
      </c>
      <c r="F8" t="s">
        <v>34</v>
      </c>
    </row>
    <row r="9" spans="1:8" x14ac:dyDescent="0.25">
      <c r="A9">
        <v>1</v>
      </c>
      <c r="H9" t="s">
        <v>45</v>
      </c>
    </row>
    <row r="10" spans="1:8" x14ac:dyDescent="0.25">
      <c r="A10" t="str">
        <f>INDEX(A2:A7,A9)</f>
        <v>Breast</v>
      </c>
      <c r="C10">
        <v>1</v>
      </c>
      <c r="H10" t="str">
        <f>"Treatment type by Route and age, 2013-2015, "&amp;Age!$D$6&amp;", England"</f>
        <v>Treatment type by Route and age, 2013-2015, Breast, England</v>
      </c>
    </row>
    <row r="11" spans="1:8" x14ac:dyDescent="0.25">
      <c r="C11" t="str">
        <f>INDEX(C2:C8,C10)</f>
        <v>Screen detected</v>
      </c>
      <c r="H11" s="24" t="str">
        <f>"Treatment type by age and Route, 2013-2015, "&amp;Age!$D$6&amp;", England"</f>
        <v>Treatment type by age and Route, 2013-2015, Breast, England</v>
      </c>
    </row>
    <row r="13" spans="1:8" x14ac:dyDescent="0.25">
      <c r="H13" t="s">
        <v>46</v>
      </c>
    </row>
    <row r="14" spans="1:8" x14ac:dyDescent="0.25">
      <c r="H14" s="24" t="str">
        <f>"Treatment type by Route and Charlson  comorbidity score, 2013-2015, "&amp;Age!$D$6&amp;", England"</f>
        <v>Treatment type by Route and Charlson  comorbidity score, 2013-2015, Breast, England</v>
      </c>
    </row>
    <row r="15" spans="1:8" x14ac:dyDescent="0.25">
      <c r="H15" s="24" t="str">
        <f>"Treatment type by Charlson comorbidity score and Route, 2013-2015, "&amp;Age!$D$6&amp;", England"</f>
        <v>Treatment type by Charlson comorbidity score and Route, 2013-2015, Breast, England</v>
      </c>
    </row>
    <row r="19" spans="8:8" x14ac:dyDescent="0.25">
      <c r="H19" t="s">
        <v>117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E22"/>
  <sheetViews>
    <sheetView showGridLines="0" workbookViewId="0"/>
  </sheetViews>
  <sheetFormatPr defaultRowHeight="15" x14ac:dyDescent="0.25"/>
  <cols>
    <col min="1" max="1" width="4" style="24" customWidth="1"/>
    <col min="2" max="2" width="153.5703125" style="24" customWidth="1"/>
    <col min="3" max="16384" width="9.140625" style="24"/>
  </cols>
  <sheetData>
    <row r="2" spans="2:57" ht="18" x14ac:dyDescent="0.25">
      <c r="B2" s="26" t="s">
        <v>74</v>
      </c>
    </row>
    <row r="3" spans="2:57" ht="18" x14ac:dyDescent="0.25">
      <c r="B3" s="26"/>
    </row>
    <row r="4" spans="2:57" ht="60.75" x14ac:dyDescent="0.25">
      <c r="B4" s="56" t="s">
        <v>100</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row>
    <row r="5" spans="2:57" ht="15.75" x14ac:dyDescent="0.25">
      <c r="B5" s="56"/>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row>
    <row r="6" spans="2:57" ht="18" x14ac:dyDescent="0.25">
      <c r="B6" s="26" t="s">
        <v>75</v>
      </c>
    </row>
    <row r="7" spans="2:57" ht="18" x14ac:dyDescent="0.25">
      <c r="B7" s="26"/>
    </row>
    <row r="8" spans="2:57" ht="30.75" x14ac:dyDescent="0.25">
      <c r="B8" s="58" t="s">
        <v>77</v>
      </c>
    </row>
    <row r="9" spans="2:57" ht="30.75" x14ac:dyDescent="0.25">
      <c r="B9" s="58" t="s">
        <v>104</v>
      </c>
      <c r="D9" s="32"/>
    </row>
    <row r="10" spans="2:57" ht="15.75" x14ac:dyDescent="0.25">
      <c r="B10" s="56"/>
      <c r="D10" s="32"/>
    </row>
    <row r="11" spans="2:57" ht="18" x14ac:dyDescent="0.25">
      <c r="B11" s="26" t="s">
        <v>76</v>
      </c>
    </row>
    <row r="12" spans="2:57" ht="18" x14ac:dyDescent="0.25">
      <c r="B12" s="26"/>
    </row>
    <row r="13" spans="2:57" ht="16.5" x14ac:dyDescent="0.25">
      <c r="B13" s="57" t="s">
        <v>101</v>
      </c>
    </row>
    <row r="14" spans="2:57" ht="31.5" x14ac:dyDescent="0.25">
      <c r="B14" s="57" t="s">
        <v>122</v>
      </c>
    </row>
    <row r="15" spans="2:57" ht="16.5" x14ac:dyDescent="0.25">
      <c r="B15" s="57" t="s">
        <v>102</v>
      </c>
    </row>
    <row r="16" spans="2:57" ht="16.5" x14ac:dyDescent="0.25">
      <c r="B16" s="57" t="s">
        <v>103</v>
      </c>
    </row>
    <row r="17" spans="2:2" ht="16.5" x14ac:dyDescent="0.25">
      <c r="B17" s="57" t="s">
        <v>108</v>
      </c>
    </row>
    <row r="18" spans="2:2" ht="16.5" x14ac:dyDescent="0.25">
      <c r="B18" s="57" t="s">
        <v>109</v>
      </c>
    </row>
    <row r="19" spans="2:2" ht="16.5" x14ac:dyDescent="0.25">
      <c r="B19" s="57"/>
    </row>
    <row r="20" spans="2:2" ht="30.75" x14ac:dyDescent="0.25">
      <c r="B20" s="56" t="s">
        <v>123</v>
      </c>
    </row>
    <row r="21" spans="2:2" ht="15.75" x14ac:dyDescent="0.25">
      <c r="B21" s="56"/>
    </row>
    <row r="22" spans="2:2" ht="30.75" x14ac:dyDescent="0.25">
      <c r="B22" s="56" t="s">
        <v>105</v>
      </c>
    </row>
  </sheetData>
  <hyperlinks>
    <hyperlink ref="B8" r:id="rId1"/>
    <hyperlink ref="B9" r:id="rId2"/>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G73"/>
  <sheetViews>
    <sheetView showGridLines="0" zoomScaleNormal="100" workbookViewId="0"/>
  </sheetViews>
  <sheetFormatPr defaultRowHeight="15" x14ac:dyDescent="0.2"/>
  <cols>
    <col min="1" max="1" width="9.140625" style="32"/>
    <col min="2" max="2" width="41.28515625" style="32" customWidth="1"/>
    <col min="3" max="3" width="60.7109375" style="32" customWidth="1"/>
    <col min="4" max="4" width="45.28515625" style="32" customWidth="1"/>
    <col min="5" max="5" width="20.42578125" style="32" bestFit="1" customWidth="1"/>
    <col min="6" max="16384" width="9.140625" style="32"/>
  </cols>
  <sheetData>
    <row r="2" spans="1:7" ht="18" x14ac:dyDescent="0.25">
      <c r="B2" s="26" t="s">
        <v>85</v>
      </c>
    </row>
    <row r="3" spans="1:7" x14ac:dyDescent="0.2">
      <c r="B3" s="32" t="s">
        <v>86</v>
      </c>
    </row>
    <row r="5" spans="1:7" ht="18" x14ac:dyDescent="0.25">
      <c r="B5" s="26" t="s">
        <v>47</v>
      </c>
      <c r="G5" s="26" t="s">
        <v>107</v>
      </c>
    </row>
    <row r="7" spans="1:7" ht="16.5" thickBot="1" x14ac:dyDescent="0.25">
      <c r="B7" s="27" t="s">
        <v>37</v>
      </c>
      <c r="C7" s="27" t="s">
        <v>48</v>
      </c>
    </row>
    <row r="8" spans="1:7" ht="31.5" customHeight="1" thickBot="1" x14ac:dyDescent="0.25">
      <c r="A8" s="23"/>
      <c r="B8" s="22" t="s">
        <v>49</v>
      </c>
      <c r="C8" s="78" t="s">
        <v>106</v>
      </c>
      <c r="D8" s="69"/>
      <c r="E8" s="70"/>
    </row>
    <row r="9" spans="1:7" ht="31.5" customHeight="1" thickBot="1" x14ac:dyDescent="0.25">
      <c r="A9" s="23"/>
      <c r="B9" s="35" t="s">
        <v>1</v>
      </c>
      <c r="C9" s="75" t="s">
        <v>50</v>
      </c>
      <c r="D9" s="76"/>
      <c r="E9" s="77"/>
    </row>
    <row r="10" spans="1:7" ht="31.5" customHeight="1" thickBot="1" x14ac:dyDescent="0.25">
      <c r="A10" s="23"/>
      <c r="B10" s="36" t="s">
        <v>51</v>
      </c>
      <c r="C10" s="79" t="s">
        <v>52</v>
      </c>
      <c r="D10" s="80"/>
      <c r="E10" s="81"/>
    </row>
    <row r="11" spans="1:7" ht="66" customHeight="1" thickBot="1" x14ac:dyDescent="0.25">
      <c r="A11" s="23"/>
      <c r="B11" s="35" t="s">
        <v>32</v>
      </c>
      <c r="C11" s="75" t="s">
        <v>87</v>
      </c>
      <c r="D11" s="76"/>
      <c r="E11" s="77"/>
    </row>
    <row r="12" spans="1:7" ht="31.5" customHeight="1" thickBot="1" x14ac:dyDescent="0.25">
      <c r="A12" s="23"/>
      <c r="B12" s="35" t="s">
        <v>53</v>
      </c>
      <c r="C12" s="75" t="s">
        <v>54</v>
      </c>
      <c r="D12" s="76"/>
      <c r="E12" s="77"/>
    </row>
    <row r="13" spans="1:7" ht="31.5" customHeight="1" thickBot="1" x14ac:dyDescent="0.25">
      <c r="A13" s="23"/>
      <c r="B13" s="35" t="s">
        <v>4</v>
      </c>
      <c r="C13" s="75" t="s">
        <v>55</v>
      </c>
      <c r="D13" s="76"/>
      <c r="E13" s="77"/>
    </row>
    <row r="15" spans="1:7" ht="16.5" thickBot="1" x14ac:dyDescent="0.25">
      <c r="B15" s="27" t="s">
        <v>114</v>
      </c>
      <c r="C15" s="27" t="s">
        <v>48</v>
      </c>
    </row>
    <row r="16" spans="1:7" ht="31.5" customHeight="1" thickBot="1" x14ac:dyDescent="0.25">
      <c r="B16" s="22" t="s">
        <v>45</v>
      </c>
      <c r="C16" s="69" t="s">
        <v>112</v>
      </c>
      <c r="D16" s="69"/>
      <c r="E16" s="70"/>
    </row>
    <row r="17" spans="2:5" ht="31.5" customHeight="1" thickBot="1" x14ac:dyDescent="0.25">
      <c r="B17" s="61" t="s">
        <v>44</v>
      </c>
      <c r="C17" s="71" t="s">
        <v>113</v>
      </c>
      <c r="D17" s="71"/>
      <c r="E17" s="72"/>
    </row>
    <row r="18" spans="2:5" ht="31.5" customHeight="1" thickBot="1" x14ac:dyDescent="0.25">
      <c r="B18" s="60" t="s">
        <v>111</v>
      </c>
      <c r="C18" s="73" t="s">
        <v>116</v>
      </c>
      <c r="D18" s="73"/>
      <c r="E18" s="74"/>
    </row>
    <row r="20" spans="2:5" ht="18" x14ac:dyDescent="0.25">
      <c r="B20" s="26" t="s">
        <v>91</v>
      </c>
    </row>
    <row r="21" spans="2:5" ht="6.75" customHeight="1" x14ac:dyDescent="0.25">
      <c r="B21" s="37"/>
    </row>
    <row r="22" spans="2:5" ht="15.75" x14ac:dyDescent="0.25">
      <c r="B22" s="37" t="s">
        <v>90</v>
      </c>
    </row>
    <row r="23" spans="2:5" ht="15.75" x14ac:dyDescent="0.25">
      <c r="D23"/>
      <c r="E23"/>
    </row>
    <row r="24" spans="2:5" ht="30" customHeight="1" x14ac:dyDescent="0.25">
      <c r="B24" s="38" t="s">
        <v>56</v>
      </c>
      <c r="C24" s="39" t="s">
        <v>57</v>
      </c>
      <c r="D24" s="37" t="s">
        <v>89</v>
      </c>
      <c r="E24"/>
    </row>
    <row r="25" spans="2:5" ht="15.75" x14ac:dyDescent="0.25">
      <c r="B25" s="40" t="s">
        <v>16</v>
      </c>
      <c r="C25" s="41" t="s">
        <v>58</v>
      </c>
      <c r="D25" t="s">
        <v>79</v>
      </c>
      <c r="E25"/>
    </row>
    <row r="26" spans="2:5" ht="15.75" x14ac:dyDescent="0.25">
      <c r="B26" s="42" t="s">
        <v>17</v>
      </c>
      <c r="C26" s="43" t="s">
        <v>80</v>
      </c>
      <c r="D26" s="43" t="s">
        <v>79</v>
      </c>
      <c r="E26"/>
    </row>
    <row r="27" spans="2:5" ht="15.75" x14ac:dyDescent="0.25">
      <c r="B27" s="40" t="s">
        <v>18</v>
      </c>
      <c r="C27" s="41" t="s">
        <v>81</v>
      </c>
      <c r="D27" s="41" t="s">
        <v>79</v>
      </c>
      <c r="E27"/>
    </row>
    <row r="28" spans="2:5" ht="15.75" x14ac:dyDescent="0.25">
      <c r="B28" s="42" t="s">
        <v>88</v>
      </c>
      <c r="C28" s="43" t="s">
        <v>82</v>
      </c>
      <c r="D28" s="43" t="s">
        <v>84</v>
      </c>
      <c r="E28"/>
    </row>
    <row r="29" spans="2:5" ht="15.75" x14ac:dyDescent="0.25">
      <c r="B29" s="40" t="s">
        <v>78</v>
      </c>
      <c r="C29" s="41" t="s">
        <v>82</v>
      </c>
      <c r="D29" s="41" t="s">
        <v>83</v>
      </c>
      <c r="E29"/>
    </row>
    <row r="30" spans="2:5" ht="15.75" x14ac:dyDescent="0.25">
      <c r="B30" s="42" t="s">
        <v>21</v>
      </c>
      <c r="C30" s="43" t="s">
        <v>59</v>
      </c>
      <c r="D30" s="43" t="s">
        <v>79</v>
      </c>
      <c r="E30"/>
    </row>
    <row r="31" spans="2:5" x14ac:dyDescent="0.2">
      <c r="B31" s="44"/>
      <c r="C31" s="45"/>
      <c r="D31" s="46"/>
      <c r="E31" s="46"/>
    </row>
    <row r="62" ht="15" customHeight="1" x14ac:dyDescent="0.2"/>
    <row r="72" ht="39.75" customHeight="1" x14ac:dyDescent="0.2"/>
    <row r="73" ht="41.25" customHeight="1" x14ac:dyDescent="0.2"/>
  </sheetData>
  <mergeCells count="9">
    <mergeCell ref="C16:E16"/>
    <mergeCell ref="C17:E17"/>
    <mergeCell ref="C18:E18"/>
    <mergeCell ref="C13:E13"/>
    <mergeCell ref="C8:E8"/>
    <mergeCell ref="C9:E9"/>
    <mergeCell ref="C10:E10"/>
    <mergeCell ref="C11:E11"/>
    <mergeCell ref="C12:E1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9E49"/>
  </sheetPr>
  <dimension ref="A1:AP51"/>
  <sheetViews>
    <sheetView workbookViewId="0">
      <selection activeCell="B2" sqref="B2:B4"/>
    </sheetView>
  </sheetViews>
  <sheetFormatPr defaultRowHeight="15" x14ac:dyDescent="0.25"/>
  <cols>
    <col min="1" max="1" width="1.42578125" style="3" customWidth="1"/>
    <col min="2" max="2" width="11" style="3" customWidth="1"/>
    <col min="3" max="3" width="1.42578125" style="3" customWidth="1"/>
    <col min="4" max="4" width="5.7109375" style="3" customWidth="1"/>
    <col min="5" max="5" width="26.85546875" style="3" customWidth="1"/>
    <col min="6" max="21" width="4.5703125" style="3" customWidth="1"/>
    <col min="22" max="22" width="0" style="3" hidden="1" customWidth="1"/>
    <col min="23" max="23" width="9.140625" style="3"/>
    <col min="24" max="24" width="4" style="3" customWidth="1"/>
    <col min="25" max="34" width="0.140625" style="3" customWidth="1"/>
    <col min="35" max="35" width="4" style="3" customWidth="1"/>
    <col min="36" max="36" width="9" style="3" customWidth="1"/>
    <col min="37" max="37" width="3.7109375" style="3" bestFit="1" customWidth="1"/>
    <col min="38" max="38" width="9" style="3" customWidth="1"/>
    <col min="39" max="39" width="3.7109375" style="3" bestFit="1" customWidth="1"/>
    <col min="40" max="40" width="9" style="3" customWidth="1"/>
    <col min="41" max="41" width="3.7109375" style="3" bestFit="1" customWidth="1"/>
    <col min="42" max="16384" width="9.140625" style="3"/>
  </cols>
  <sheetData>
    <row r="1" spans="1:42" ht="15.75" thickBot="1" x14ac:dyDescent="0.3">
      <c r="D1" s="4"/>
      <c r="V1" s="5"/>
      <c r="W1" s="5"/>
    </row>
    <row r="2" spans="1:42" ht="15" customHeight="1" x14ac:dyDescent="0.25">
      <c r="B2" s="88" t="s">
        <v>92</v>
      </c>
      <c r="D2" s="91" t="s">
        <v>93</v>
      </c>
      <c r="E2" s="92"/>
      <c r="F2" s="92"/>
      <c r="G2" s="92"/>
      <c r="H2" s="92"/>
      <c r="I2" s="92"/>
      <c r="J2" s="92"/>
      <c r="K2" s="92"/>
      <c r="L2" s="92"/>
      <c r="M2" s="92"/>
      <c r="N2" s="92"/>
      <c r="O2" s="92"/>
      <c r="P2" s="92"/>
      <c r="Q2" s="92"/>
      <c r="R2" s="92"/>
      <c r="S2" s="92"/>
      <c r="T2" s="92"/>
      <c r="U2" s="92"/>
      <c r="V2" s="92"/>
      <c r="W2" s="93"/>
    </row>
    <row r="3" spans="1:42" x14ac:dyDescent="0.25">
      <c r="B3" s="89"/>
      <c r="D3" s="94"/>
      <c r="E3" s="95"/>
      <c r="F3" s="95"/>
      <c r="G3" s="95"/>
      <c r="H3" s="95"/>
      <c r="I3" s="95"/>
      <c r="J3" s="95"/>
      <c r="K3" s="95"/>
      <c r="L3" s="95"/>
      <c r="M3" s="95"/>
      <c r="N3" s="95"/>
      <c r="O3" s="95"/>
      <c r="P3" s="95"/>
      <c r="Q3" s="95"/>
      <c r="R3" s="95"/>
      <c r="S3" s="95"/>
      <c r="T3" s="95"/>
      <c r="U3" s="95"/>
      <c r="V3" s="95"/>
      <c r="W3" s="96"/>
    </row>
    <row r="4" spans="1:42" ht="23.25" customHeight="1" thickBot="1" x14ac:dyDescent="0.3">
      <c r="B4" s="90"/>
      <c r="D4" s="97"/>
      <c r="E4" s="98"/>
      <c r="F4" s="98"/>
      <c r="G4" s="98"/>
      <c r="H4" s="98"/>
      <c r="I4" s="98"/>
      <c r="J4" s="98"/>
      <c r="K4" s="98"/>
      <c r="L4" s="98"/>
      <c r="M4" s="98"/>
      <c r="N4" s="98"/>
      <c r="O4" s="98"/>
      <c r="P4" s="98"/>
      <c r="Q4" s="98"/>
      <c r="R4" s="98"/>
      <c r="S4" s="98"/>
      <c r="T4" s="98"/>
      <c r="U4" s="98"/>
      <c r="V4" s="98"/>
      <c r="W4" s="99"/>
    </row>
    <row r="5" spans="1:42" ht="15.75" thickBot="1" x14ac:dyDescent="0.3">
      <c r="D5" s="4"/>
      <c r="V5" s="5"/>
      <c r="W5" s="5"/>
    </row>
    <row r="6" spans="1:42" ht="87.75" customHeight="1" thickBot="1" x14ac:dyDescent="0.3">
      <c r="A6" s="6"/>
      <c r="B6" s="6"/>
      <c r="C6" s="6"/>
      <c r="D6" s="100" t="str">
        <f>Lookups!A10</f>
        <v>Breast</v>
      </c>
      <c r="E6" s="101"/>
      <c r="F6" s="102" t="s">
        <v>22</v>
      </c>
      <c r="G6" s="103"/>
      <c r="H6" s="103" t="s">
        <v>25</v>
      </c>
      <c r="I6" s="103"/>
      <c r="J6" s="103" t="s">
        <v>26</v>
      </c>
      <c r="K6" s="103"/>
      <c r="L6" s="103" t="s">
        <v>24</v>
      </c>
      <c r="M6" s="103"/>
      <c r="N6" s="103" t="s">
        <v>23</v>
      </c>
      <c r="O6" s="103"/>
      <c r="P6" s="103" t="s">
        <v>27</v>
      </c>
      <c r="Q6" s="103"/>
      <c r="R6" s="103" t="s">
        <v>117</v>
      </c>
      <c r="S6" s="103"/>
      <c r="T6" s="103" t="s">
        <v>28</v>
      </c>
      <c r="U6" s="103"/>
      <c r="V6" s="13" t="s">
        <v>5</v>
      </c>
      <c r="W6" s="16" t="s">
        <v>110</v>
      </c>
      <c r="Y6" s="18" t="s">
        <v>41</v>
      </c>
      <c r="Z6" s="18" t="s">
        <v>37</v>
      </c>
      <c r="AA6" s="19" t="s">
        <v>22</v>
      </c>
      <c r="AB6" s="19" t="s">
        <v>23</v>
      </c>
      <c r="AC6" s="19" t="s">
        <v>24</v>
      </c>
      <c r="AD6" s="19" t="s">
        <v>25</v>
      </c>
      <c r="AE6" s="19" t="s">
        <v>26</v>
      </c>
      <c r="AF6" s="19" t="s">
        <v>27</v>
      </c>
      <c r="AG6" s="19" t="s">
        <v>28</v>
      </c>
      <c r="AH6" s="19" t="s">
        <v>117</v>
      </c>
      <c r="AJ6" s="17"/>
      <c r="AP6" s="17"/>
    </row>
    <row r="7" spans="1:42" ht="15.75" customHeight="1" thickBot="1" x14ac:dyDescent="0.3">
      <c r="D7" s="4"/>
      <c r="V7" s="5"/>
      <c r="W7" s="5"/>
      <c r="Y7" s="18" t="str">
        <f>Lookups!A10</f>
        <v>Breast</v>
      </c>
      <c r="Z7" s="18" t="s">
        <v>0</v>
      </c>
      <c r="AA7" s="20">
        <f>IF(OR(ISERROR(VLOOKUP($Y$7&amp;$Z7,'Modality data'!$A$3:$AD$44,4,FALSE)),ISBLANK(VLOOKUP($Y$7&amp;$Z7,'Modality data'!$A$3:$AD$44,4,FALSE))),"",VLOOKUP($Y$7&amp;$Z7,'Modality data'!$A$3:$AD$44,4,FALSE))</f>
        <v>0.14494787489975941</v>
      </c>
      <c r="AB7" s="20">
        <f>IF(OR(ISERROR(VLOOKUP($Y$7&amp;$Z7,'Modality data'!$A$3:$AD$44,5,FALSE)),ISBLANK(VLOOKUP($Y$7&amp;$Z7,'Modality data'!$A$3:$AD$44,5,FALSE))),"",VLOOKUP($Y$7&amp;$Z7,'Modality data'!$A$3:$AD$44,5,FALSE))</f>
        <v>3.1575781876503608E-3</v>
      </c>
      <c r="AC7" s="20">
        <f>IF(OR(ISERROR(VLOOKUP($Y$7&amp;$Z7,'Modality data'!$A$3:$AD$44,6,FALSE)),ISBLANK(VLOOKUP($Y$7&amp;$Z7,'Modality data'!$A$3:$AD$44,6,FALSE))),"",VLOOKUP($Y$7&amp;$Z7,'Modality data'!$A$3:$AD$44,6,FALSE))</f>
        <v>9.4476744186046506E-3</v>
      </c>
      <c r="AD7" s="20">
        <f>IF(OR(ISERROR(VLOOKUP($Y$7&amp;$Z7,'Modality data'!$A$3:$AD$44,7,FALSE)),ISBLANK(VLOOKUP($Y$7&amp;$Z7,'Modality data'!$A$3:$AD$44,7,FALSE))),"",VLOOKUP($Y$7&amp;$Z7,'Modality data'!$A$3:$AD$44,7,FALSE))</f>
        <v>3.8742983159583001E-2</v>
      </c>
      <c r="AE7" s="20">
        <f>IF(OR(ISERROR(VLOOKUP($Y$7&amp;$Z7,'Modality data'!$A$3:$AD$44,8,FALSE)),ISBLANK(VLOOKUP($Y$7&amp;$Z7,'Modality data'!$A$3:$AD$44,8,FALSE))),"",VLOOKUP($Y$7&amp;$Z7,'Modality data'!$A$3:$AD$44,8,FALSE))</f>
        <v>0.58535485164394552</v>
      </c>
      <c r="AF7" s="20">
        <f>IF(OR(ISERROR(VLOOKUP($Y$7&amp;$Z7,'Modality data'!$A$3:$AD$44,9,FALSE)),ISBLANK(VLOOKUP($Y$7&amp;$Z7,'Modality data'!$A$3:$AD$44,9,FALSE))),"",VLOOKUP($Y$7&amp;$Z7,'Modality data'!$A$3:$AD$44,9,FALSE))</f>
        <v>3.6337209302325581E-3</v>
      </c>
      <c r="AG7" s="20">
        <f>IF(OR(ISERROR(VLOOKUP($Y$7&amp;$Z7,'Modality data'!$A$3:$AD$44,10,FALSE)),ISBLANK(VLOOKUP($Y$7&amp;$Z7,'Modality data'!$A$3:$AD$44,10,FALSE))),"",VLOOKUP($Y$7&amp;$Z7,'Modality data'!$A$3:$AD$44,10,FALSE))</f>
        <v>2.1752205292702487E-2</v>
      </c>
      <c r="AH7" s="20">
        <f>IF(OR(ISERROR(VLOOKUP($Y$7&amp;$Z7,'Modality data'!$A$3:$AD$44,11,FALSE)),ISBLANK(VLOOKUP($Y$7&amp;$Z7,'Modality data'!$A$3:$AD$44,11,FALSE))),"",VLOOKUP($Y$7&amp;$Z7,'Modality data'!$A$3:$AD$44,11,FALSE))</f>
        <v>0.19296311146752204</v>
      </c>
    </row>
    <row r="8" spans="1:42" ht="15.75" customHeight="1" x14ac:dyDescent="0.25">
      <c r="A8" s="7"/>
      <c r="B8" s="55" t="s">
        <v>72</v>
      </c>
      <c r="C8" s="7"/>
      <c r="D8" s="106" t="s">
        <v>37</v>
      </c>
      <c r="E8" s="8" t="s">
        <v>0</v>
      </c>
      <c r="F8" s="85">
        <f>IF(OR(ISERROR(VLOOKUP($D$6&amp;$E8,'Modality data'!$A$3:$AD$44,4,FALSE)),ISBLANK(VLOOKUP($D$6&amp;$E8,'Modality data'!$A$3:$AD$44,4,FALSE))),"",VLOOKUP($D$6&amp;$E8,'Modality data'!$A$3:$AD$44,4,FALSE))</f>
        <v>0.14494787489975941</v>
      </c>
      <c r="G8" s="85"/>
      <c r="H8" s="85">
        <f>IF(OR(ISERROR(VLOOKUP($D$6&amp;$E8,'Modality data'!$A$3:$AD$44,7,FALSE)),ISBLANK(VLOOKUP($D$6&amp;$E8,'Modality data'!$A$3:$AD$44,7,FALSE))),"",VLOOKUP($D$6&amp;$E8,'Modality data'!$A$3:$AD$44,7,FALSE))</f>
        <v>3.8742983159583001E-2</v>
      </c>
      <c r="I8" s="85"/>
      <c r="J8" s="85">
        <f>IF(OR(ISERROR(VLOOKUP($D$6&amp;$E8,'Modality data'!$A$3:$AD$44,8,FALSE)),ISBLANK(VLOOKUP($D$6&amp;$E8,'Modality data'!$A$3:$AD$44,8,FALSE))),"",VLOOKUP($D$6&amp;$E8,'Modality data'!$A$3:$AD$44,8,FALSE))</f>
        <v>0.58535485164394552</v>
      </c>
      <c r="K8" s="85"/>
      <c r="L8" s="85">
        <f>IF(OR(ISERROR(VLOOKUP($D$6&amp;$E8,'Modality data'!$A$3:$AD$44,6,FALSE)),ISBLANK(VLOOKUP($D$6&amp;$E8,'Modality data'!$A$3:$AD$44,6,FALSE))),"",VLOOKUP($D$6&amp;$E8,'Modality data'!$A$3:$AD$44,6,FALSE))</f>
        <v>9.4476744186046506E-3</v>
      </c>
      <c r="M8" s="85"/>
      <c r="N8" s="85">
        <f>IF(OR(ISERROR(VLOOKUP($D$6&amp;$E8,'Modality data'!$A$3:$AD$44,5,FALSE)),ISBLANK(VLOOKUP($D$6&amp;$E8,'Modality data'!$A$3:$AD$44,5,FALSE))),"",VLOOKUP($D$6&amp;$E8,'Modality data'!$A$3:$AD$44,5,FALSE))</f>
        <v>3.1575781876503608E-3</v>
      </c>
      <c r="O8" s="85"/>
      <c r="P8" s="85">
        <f>IF(OR(ISERROR(VLOOKUP($D$6&amp;$E8,'Modality data'!$A$3:$AD$44,9,FALSE)),ISBLANK(VLOOKUP($D$6&amp;$E8,'Modality data'!$A$3:$AD$44,9,FALSE))),"",VLOOKUP($D$6&amp;$E8,'Modality data'!$A$3:$AD$44,9,FALSE))</f>
        <v>3.6337209302325581E-3</v>
      </c>
      <c r="Q8" s="85"/>
      <c r="R8" s="85">
        <f>IF(OR(ISERROR(VLOOKUP($D$6&amp;$E8,'Modality data'!$A$3:$AD$44,11,FALSE)),ISBLANK(VLOOKUP($D$6&amp;$E8,'Modality data'!$A$3:$AD$44,11,FALSE))),"",VLOOKUP($D$6&amp;$E8,'Modality data'!$A$3:$AD$44,11,FALSE))</f>
        <v>0.19296311146752204</v>
      </c>
      <c r="S8" s="85"/>
      <c r="T8" s="85">
        <f>IF(OR(ISERROR(VLOOKUP($D$6&amp;$E8,'Modality data'!$A$3:$AD$44,10,FALSE)),ISBLANK(VLOOKUP($D$6&amp;$E8,'Modality data'!$A$3:$AD$44,10,FALSE))),"",VLOOKUP($D$6&amp;$E8,'Modality data'!$A$3:$AD$44,10,FALSE))</f>
        <v>2.1752205292702487E-2</v>
      </c>
      <c r="U8" s="85"/>
      <c r="V8" s="86">
        <f>SUM(F8,N8,L8,H8,J8,P8,T8,R8)</f>
        <v>1</v>
      </c>
      <c r="W8" s="83">
        <f>IF(OR(ISERROR(VLOOKUP($D$6&amp;$E8,'Modality data'!$A$3:$AD$44,13,FALSE)),ISBLANK(VLOOKUP($D$6&amp;$E8,'Modality data'!$A$3:$AD$44,13,FALSE))),"",VLOOKUP($D$6&amp;$E8,'Modality data'!$A$3:$AD$44,13,FALSE))</f>
        <v>39904</v>
      </c>
      <c r="Y8" s="18"/>
      <c r="Z8" s="18" t="s">
        <v>1</v>
      </c>
      <c r="AA8" s="20">
        <f>IF(OR(ISERROR(VLOOKUP($Y$7&amp;$Z8,'Modality data'!$A$3:$AD$44,4,FALSE)),ISBLANK(VLOOKUP($Y$7&amp;$Z8,'Modality data'!$A$3:$AD$44,4,FALSE))),"",VLOOKUP($Y$7&amp;$Z8,'Modality data'!$A$3:$AD$44,4,FALSE))</f>
        <v>0.15302166156266681</v>
      </c>
      <c r="AB8" s="20">
        <f>IF(OR(ISERROR(VLOOKUP($Y$7&amp;$Z8,'Modality data'!$A$3:$AD$44,5,FALSE)),ISBLANK(VLOOKUP($Y$7&amp;$Z8,'Modality data'!$A$3:$AD$44,5,FALSE))),"",VLOOKUP($Y$7&amp;$Z8,'Modality data'!$A$3:$AD$44,5,FALSE))</f>
        <v>1.691343803556879E-2</v>
      </c>
      <c r="AC8" s="20">
        <f>IF(OR(ISERROR(VLOOKUP($Y$7&amp;$Z8,'Modality data'!$A$3:$AD$44,6,FALSE)),ISBLANK(VLOOKUP($Y$7&amp;$Z8,'Modality data'!$A$3:$AD$44,6,FALSE))),"",VLOOKUP($Y$7&amp;$Z8,'Modality data'!$A$3:$AD$44,6,FALSE))</f>
        <v>1.0858876745427471E-2</v>
      </c>
      <c r="AD8" s="20">
        <f>IF(OR(ISERROR(VLOOKUP($Y$7&amp;$Z8,'Modality data'!$A$3:$AD$44,7,FALSE)),ISBLANK(VLOOKUP($Y$7&amp;$Z8,'Modality data'!$A$3:$AD$44,7,FALSE))),"",VLOOKUP($Y$7&amp;$Z8,'Modality data'!$A$3:$AD$44,7,FALSE))</f>
        <v>7.0786390582417896E-2</v>
      </c>
      <c r="AE8" s="20">
        <f>IF(OR(ISERROR(VLOOKUP($Y$7&amp;$Z8,'Modality data'!$A$3:$AD$44,8,FALSE)),ISBLANK(VLOOKUP($Y$7&amp;$Z8,'Modality data'!$A$3:$AD$44,8,FALSE))),"",VLOOKUP($Y$7&amp;$Z8,'Modality data'!$A$3:$AD$44,8,FALSE))</f>
        <v>0.26382996656645968</v>
      </c>
      <c r="AF8" s="20">
        <f>IF(OR(ISERROR(VLOOKUP($Y$7&amp;$Z8,'Modality data'!$A$3:$AD$44,9,FALSE)),ISBLANK(VLOOKUP($Y$7&amp;$Z8,'Modality data'!$A$3:$AD$44,9,FALSE))),"",VLOOKUP($Y$7&amp;$Z8,'Modality data'!$A$3:$AD$44,9,FALSE))</f>
        <v>1.1238164807686905E-2</v>
      </c>
      <c r="AG8" s="20">
        <f>IF(OR(ISERROR(VLOOKUP($Y$7&amp;$Z8,'Modality data'!$A$3:$AD$44,10,FALSE)),ISBLANK(VLOOKUP($Y$7&amp;$Z8,'Modality data'!$A$3:$AD$44,10,FALSE))),"",VLOOKUP($Y$7&amp;$Z8,'Modality data'!$A$3:$AD$44,10,FALSE))</f>
        <v>0.14456494254488242</v>
      </c>
      <c r="AH8" s="20">
        <f>IF(OR(ISERROR(VLOOKUP($Y$7&amp;$Z8,'Modality data'!$A$3:$AD$44,11,FALSE)),ISBLANK(VLOOKUP($Y$7&amp;$Z8,'Modality data'!$A$3:$AD$44,11,FALSE))),"",VLOOKUP($Y$7&amp;$Z8,'Modality data'!$A$3:$AD$44,11,FALSE))</f>
        <v>0.32878655915489002</v>
      </c>
    </row>
    <row r="9" spans="1:42" ht="15.75" customHeight="1" thickBot="1" x14ac:dyDescent="0.3">
      <c r="D9" s="107"/>
      <c r="E9" s="9" t="s">
        <v>6</v>
      </c>
      <c r="F9" s="10">
        <f>IF(F8="","",VLOOKUP($D$6&amp;$E8,'Modality data'!$A$3:$AD$44,15,FALSE))</f>
        <v>0.14199999999999999</v>
      </c>
      <c r="G9" s="10">
        <f>IF(F8="","",VLOOKUP($D$6&amp;$E8,'Modality data'!$A$3:$AD$44,16,FALSE))</f>
        <v>0.14799999999999999</v>
      </c>
      <c r="H9" s="10">
        <f>IF(H8="","",VLOOKUP($D$6&amp;$E8,'Modality data'!$A$3:$AD$44,21,FALSE))</f>
        <v>3.6999999999999998E-2</v>
      </c>
      <c r="I9" s="10">
        <f>IF(H8="","",VLOOKUP($D$6&amp;$E8,'Modality data'!$A$3:$AD$44,22,FALSE))</f>
        <v>4.1000000000000002E-2</v>
      </c>
      <c r="J9" s="10">
        <f>IF(J8="","",VLOOKUP($D$6&amp;$E8,'Modality data'!$A$3:$AD$44,23,FALSE))</f>
        <v>0.58099999999999996</v>
      </c>
      <c r="K9" s="10">
        <f>IF(J8="","",VLOOKUP($D$6&amp;$E8,'Modality data'!$A$3:$AD$44,24,FALSE))</f>
        <v>0.59</v>
      </c>
      <c r="L9" s="10">
        <f>IF(L8="","",VLOOKUP($D$6&amp;$E8,'Modality data'!$A$3:$AD$44,19,FALSE))</f>
        <v>8.9999999999999993E-3</v>
      </c>
      <c r="M9" s="10">
        <f>IF(L8="","",VLOOKUP($D$6&amp;$E8,'Modality data'!$A$3:$AD$44,20,FALSE))</f>
        <v>0.01</v>
      </c>
      <c r="N9" s="10">
        <f>IF(N8="","",VLOOKUP($D$6&amp;$E8,'Modality data'!$A$3:$AD$44,17,FALSE))</f>
        <v>3.0000000000000001E-3</v>
      </c>
      <c r="O9" s="10">
        <f>IF(N8="","",VLOOKUP($D$6&amp;$E8,'Modality data'!$A$3:$AD$44,18,FALSE))</f>
        <v>4.0000000000000001E-3</v>
      </c>
      <c r="P9" s="10">
        <f>IF(P8="","",VLOOKUP($D$6&amp;$E8,'Modality data'!$A$3:$AD$44,25,FALSE))</f>
        <v>3.0000000000000001E-3</v>
      </c>
      <c r="Q9" s="10">
        <f>IF(P8="","",VLOOKUP($D$6&amp;$E8,'Modality data'!$A$3:$AD$44,26,FALSE))</f>
        <v>4.0000000000000001E-3</v>
      </c>
      <c r="R9" s="10">
        <f>IF(R8="","",VLOOKUP($D$6&amp;$E8,'Modality data'!$A$3:$AD$44,29,FALSE))</f>
        <v>0.189</v>
      </c>
      <c r="S9" s="10">
        <f>IF(R8="","",VLOOKUP($D$6&amp;$E8,'Modality data'!$A$3:$AD$44,30,FALSE))</f>
        <v>0.19700000000000001</v>
      </c>
      <c r="T9" s="10">
        <f>IF(T8="","",VLOOKUP($D$6&amp;$E8,'Modality data'!$A$3:$AD$44,27,FALSE))</f>
        <v>0.02</v>
      </c>
      <c r="U9" s="10">
        <f>IF(T8="","",VLOOKUP($D$6&amp;$E8,'Modality data'!$A$3:$AD$44,28,FALSE))</f>
        <v>2.3E-2</v>
      </c>
      <c r="V9" s="87"/>
      <c r="W9" s="84"/>
      <c r="Y9" s="18"/>
      <c r="Z9" s="18" t="s">
        <v>2</v>
      </c>
      <c r="AA9" s="20">
        <f>IF(OR(ISERROR(VLOOKUP($Y$7&amp;$Z9,'Modality data'!$A$3:$AD$44,4,FALSE)),ISBLANK(VLOOKUP($Y$7&amp;$Z9,'Modality data'!$A$3:$AD$44,4,FALSE))),"",VLOOKUP($Y$7&amp;$Z9,'Modality data'!$A$3:$AD$44,4,FALSE))</f>
        <v>0.21090201168072681</v>
      </c>
      <c r="AB9" s="20">
        <f>IF(OR(ISERROR(VLOOKUP($Y$7&amp;$Z9,'Modality data'!$A$3:$AD$44,5,FALSE)),ISBLANK(VLOOKUP($Y$7&amp;$Z9,'Modality data'!$A$3:$AD$44,5,FALSE))),"",VLOOKUP($Y$7&amp;$Z9,'Modality data'!$A$3:$AD$44,5,FALSE))</f>
        <v>3.6177806619078517E-2</v>
      </c>
      <c r="AC9" s="20">
        <f>IF(OR(ISERROR(VLOOKUP($Y$7&amp;$Z9,'Modality data'!$A$3:$AD$44,6,FALSE)),ISBLANK(VLOOKUP($Y$7&amp;$Z9,'Modality data'!$A$3:$AD$44,6,FALSE))),"",VLOOKUP($Y$7&amp;$Z9,'Modality data'!$A$3:$AD$44,6,FALSE))</f>
        <v>5.0129785853341984E-2</v>
      </c>
      <c r="AD9" s="20">
        <f>IF(OR(ISERROR(VLOOKUP($Y$7&amp;$Z9,'Modality data'!$A$3:$AD$44,7,FALSE)),ISBLANK(VLOOKUP($Y$7&amp;$Z9,'Modality data'!$A$3:$AD$44,7,FALSE))),"",VLOOKUP($Y$7&amp;$Z9,'Modality data'!$A$3:$AD$44,7,FALSE))</f>
        <v>6.8786502271252437E-2</v>
      </c>
      <c r="AE9" s="20">
        <f>IF(OR(ISERROR(VLOOKUP($Y$7&amp;$Z9,'Modality data'!$A$3:$AD$44,8,FALSE)),ISBLANK(VLOOKUP($Y$7&amp;$Z9,'Modality data'!$A$3:$AD$44,8,FALSE))),"",VLOOKUP($Y$7&amp;$Z9,'Modality data'!$A$3:$AD$44,8,FALSE))</f>
        <v>0.20368267358857883</v>
      </c>
      <c r="AF9" s="20">
        <f>IF(OR(ISERROR(VLOOKUP($Y$7&amp;$Z9,'Modality data'!$A$3:$AD$44,9,FALSE)),ISBLANK(VLOOKUP($Y$7&amp;$Z9,'Modality data'!$A$3:$AD$44,9,FALSE))),"",VLOOKUP($Y$7&amp;$Z9,'Modality data'!$A$3:$AD$44,9,FALSE))</f>
        <v>3.1716417910447763E-2</v>
      </c>
      <c r="AG9" s="20">
        <f>IF(OR(ISERROR(VLOOKUP($Y$7&amp;$Z9,'Modality data'!$A$3:$AD$44,10,FALSE)),ISBLANK(VLOOKUP($Y$7&amp;$Z9,'Modality data'!$A$3:$AD$44,10,FALSE))),"",VLOOKUP($Y$7&amp;$Z9,'Modality data'!$A$3:$AD$44,10,FALSE))</f>
        <v>0.227125243348475</v>
      </c>
      <c r="AH9" s="20">
        <f>IF(OR(ISERROR(VLOOKUP($Y$7&amp;$Z9,'Modality data'!$A$3:$AD$44,11,FALSE)),ISBLANK(VLOOKUP($Y$7&amp;$Z9,'Modality data'!$A$3:$AD$44,11,FALSE))),"",VLOOKUP($Y$7&amp;$Z9,'Modality data'!$A$3:$AD$44,11,FALSE))</f>
        <v>0.17147955872809864</v>
      </c>
    </row>
    <row r="10" spans="1:42" ht="15.75" x14ac:dyDescent="0.25">
      <c r="D10" s="107"/>
      <c r="E10" s="15" t="s">
        <v>1</v>
      </c>
      <c r="F10" s="85">
        <f>IF(OR(ISERROR(VLOOKUP($D$6&amp;$E10,'Modality data'!$A$3:$AD$44,4,FALSE)),ISBLANK(VLOOKUP($D$6&amp;$E10,'Modality data'!$A$3:$AD$44,4,FALSE))),"",VLOOKUP($D$6&amp;$E10,'Modality data'!$A$3:$AD$44,4,FALSE))</f>
        <v>0.15302166156266681</v>
      </c>
      <c r="G10" s="85"/>
      <c r="H10" s="85">
        <f>IF(OR(ISERROR(VLOOKUP($D$6&amp;$E10,'Modality data'!$A$3:$AD$44,7,FALSE)),ISBLANK(VLOOKUP($D$6&amp;$E10,'Modality data'!$A$3:$AD$44,7,FALSE))),"",VLOOKUP($D$6&amp;$E10,'Modality data'!$A$3:$AD$44,7,FALSE))</f>
        <v>7.0786390582417896E-2</v>
      </c>
      <c r="I10" s="85"/>
      <c r="J10" s="85">
        <f>IF(OR(ISERROR(VLOOKUP($D$6&amp;$E10,'Modality data'!$A$3:$AD$44,8,FALSE)),ISBLANK(VLOOKUP($D$6&amp;$E10,'Modality data'!$A$3:$AD$44,8,FALSE))),"",VLOOKUP($D$6&amp;$E10,'Modality data'!$A$3:$AD$44,8,FALSE))</f>
        <v>0.26382996656645968</v>
      </c>
      <c r="K10" s="85"/>
      <c r="L10" s="85">
        <f>IF(OR(ISERROR(VLOOKUP($D$6&amp;$E10,'Modality data'!$A$3:$AD$44,6,FALSE)),ISBLANK(VLOOKUP($D$6&amp;$E10,'Modality data'!$A$3:$AD$44,6,FALSE))),"",VLOOKUP($D$6&amp;$E10,'Modality data'!$A$3:$AD$44,6,FALSE))</f>
        <v>1.0858876745427471E-2</v>
      </c>
      <c r="M10" s="85"/>
      <c r="N10" s="85">
        <f>IF(OR(ISERROR(VLOOKUP($D$6&amp;$E10,'Modality data'!$A$3:$AD$44,5,FALSE)),ISBLANK(VLOOKUP($D$6&amp;$E10,'Modality data'!$A$3:$AD$44,5,FALSE))),"",VLOOKUP($D$6&amp;$E10,'Modality data'!$A$3:$AD$44,5,FALSE))</f>
        <v>1.691343803556879E-2</v>
      </c>
      <c r="O10" s="85"/>
      <c r="P10" s="85">
        <f>IF(OR(ISERROR(VLOOKUP($D$6&amp;$E10,'Modality data'!$A$3:$AD$44,9,FALSE)),ISBLANK(VLOOKUP($D$6&amp;$E10,'Modality data'!$A$3:$AD$44,9,FALSE))),"",VLOOKUP($D$6&amp;$E10,'Modality data'!$A$3:$AD$44,9,FALSE))</f>
        <v>1.1238164807686905E-2</v>
      </c>
      <c r="Q10" s="85"/>
      <c r="R10" s="85">
        <f>IF(OR(ISERROR(VLOOKUP($D$6&amp;$E10,'Modality data'!$A$3:$AD$44,11,FALSE)),ISBLANK(VLOOKUP($D$6&amp;$E10,'Modality data'!$A$3:$AD$44,11,FALSE))),"",VLOOKUP($D$6&amp;$E10,'Modality data'!$A$3:$AD$44,11,FALSE))</f>
        <v>0.32878655915489002</v>
      </c>
      <c r="S10" s="85"/>
      <c r="T10" s="85">
        <f>IF(OR(ISERROR(VLOOKUP($D$6&amp;$E10,'Modality data'!$A$3:$AD$44,10,FALSE)),ISBLANK(VLOOKUP($D$6&amp;$E10,'Modality data'!$A$3:$AD$44,10,FALSE))),"",VLOOKUP($D$6&amp;$E10,'Modality data'!$A$3:$AD$44,10,FALSE))</f>
        <v>0.14456494254488242</v>
      </c>
      <c r="U10" s="85"/>
      <c r="V10" s="86">
        <f>SUM(F10,N10,L10,H10,J10,P10,T10,R10)</f>
        <v>1</v>
      </c>
      <c r="W10" s="83">
        <f>IF(OR(ISERROR(VLOOKUP($D$6&amp;$E10,'Modality data'!$A$3:$AD$44,13,FALSE)),ISBLANK(VLOOKUP($D$6&amp;$E10,'Modality data'!$A$3:$AD$44,13,FALSE))),"",VLOOKUP($D$6&amp;$E10,'Modality data'!$A$3:$AD$44,13,FALSE))</f>
        <v>71186</v>
      </c>
      <c r="Y10" s="18"/>
      <c r="Z10" s="18" t="s">
        <v>32</v>
      </c>
      <c r="AA10" s="20">
        <f>IF(OR(ISERROR(VLOOKUP($Y$7&amp;$Z10,'Modality data'!$A$3:$AD$44,4,FALSE)),ISBLANK(VLOOKUP($Y$7&amp;$Z10,'Modality data'!$A$3:$AD$44,4,FALSE))),"",VLOOKUP($Y$7&amp;$Z10,'Modality data'!$A$3:$AD$44,4,FALSE))</f>
        <v>0.23100473142220984</v>
      </c>
      <c r="AB10" s="20">
        <f>IF(OR(ISERROR(VLOOKUP($Y$7&amp;$Z10,'Modality data'!$A$3:$AD$44,5,FALSE)),ISBLANK(VLOOKUP($Y$7&amp;$Z10,'Modality data'!$A$3:$AD$44,5,FALSE))),"",VLOOKUP($Y$7&amp;$Z10,'Modality data'!$A$3:$AD$44,5,FALSE))</f>
        <v>4.842749791260785E-2</v>
      </c>
      <c r="AC10" s="20">
        <f>IF(OR(ISERROR(VLOOKUP($Y$7&amp;$Z10,'Modality data'!$A$3:$AD$44,6,FALSE)),ISBLANK(VLOOKUP($Y$7&amp;$Z10,'Modality data'!$A$3:$AD$44,6,FALSE))),"",VLOOKUP($Y$7&amp;$Z10,'Modality data'!$A$3:$AD$44,6,FALSE))</f>
        <v>3.4789869190091846E-2</v>
      </c>
      <c r="AD10" s="20">
        <f>IF(OR(ISERROR(VLOOKUP($Y$7&amp;$Z10,'Modality data'!$A$3:$AD$44,7,FALSE)),ISBLANK(VLOOKUP($Y$7&amp;$Z10,'Modality data'!$A$3:$AD$44,7,FALSE))),"",VLOOKUP($Y$7&amp;$Z10,'Modality data'!$A$3:$AD$44,7,FALSE))</f>
        <v>7.7929306985805732E-2</v>
      </c>
      <c r="AE10" s="20">
        <f>IF(OR(ISERROR(VLOOKUP($Y$7&amp;$Z10,'Modality data'!$A$3:$AD$44,8,FALSE)),ISBLANK(VLOOKUP($Y$7&amp;$Z10,'Modality data'!$A$3:$AD$44,8,FALSE))),"",VLOOKUP($Y$7&amp;$Z10,'Modality data'!$A$3:$AD$44,8,FALSE))</f>
        <v>0.25048705816866129</v>
      </c>
      <c r="AF10" s="20">
        <f>IF(OR(ISERROR(VLOOKUP($Y$7&amp;$Z10,'Modality data'!$A$3:$AD$44,9,FALSE)),ISBLANK(VLOOKUP($Y$7&amp;$Z10,'Modality data'!$A$3:$AD$44,9,FALSE))),"",VLOOKUP($Y$7&amp;$Z10,'Modality data'!$A$3:$AD$44,9,FALSE))</f>
        <v>3.3676593376008909E-2</v>
      </c>
      <c r="AG10" s="20">
        <f>IF(OR(ISERROR(VLOOKUP($Y$7&amp;$Z10,'Modality data'!$A$3:$AD$44,10,FALSE)),ISBLANK(VLOOKUP($Y$7&amp;$Z10,'Modality data'!$A$3:$AD$44,10,FALSE))),"",VLOOKUP($Y$7&amp;$Z10,'Modality data'!$A$3:$AD$44,10,FALSE))</f>
        <v>0.18285555246312274</v>
      </c>
      <c r="AH10" s="20">
        <f>IF(OR(ISERROR(VLOOKUP($Y$7&amp;$Z10,'Modality data'!$A$3:$AD$44,11,FALSE)),ISBLANK(VLOOKUP($Y$7&amp;$Z10,'Modality data'!$A$3:$AD$44,11,FALSE))),"",VLOOKUP($Y$7&amp;$Z10,'Modality data'!$A$3:$AD$44,11,FALSE))</f>
        <v>0.14082939048149179</v>
      </c>
    </row>
    <row r="11" spans="1:42" ht="15.75" customHeight="1" thickBot="1" x14ac:dyDescent="0.3">
      <c r="D11" s="107"/>
      <c r="E11" s="9" t="s">
        <v>6</v>
      </c>
      <c r="F11" s="10">
        <f>IF(F10="","",VLOOKUP($D$6&amp;$E10,'Modality data'!$A$3:$AD$44,15,FALSE))</f>
        <v>0.15</v>
      </c>
      <c r="G11" s="10">
        <f>IF(F10="","",VLOOKUP($D$6&amp;$E10,'Modality data'!$A$3:$AD$44,16,FALSE))</f>
        <v>0.156</v>
      </c>
      <c r="H11" s="10">
        <f>IF(H10="","",VLOOKUP($D$6&amp;$E10,'Modality data'!$A$3:$AD$44,21,FALSE))</f>
        <v>6.9000000000000006E-2</v>
      </c>
      <c r="I11" s="10">
        <f>IF(H10="","",VLOOKUP($D$6&amp;$E10,'Modality data'!$A$3:$AD$44,22,FALSE))</f>
        <v>7.2999999999999995E-2</v>
      </c>
      <c r="J11" s="10">
        <f>IF(J10="","",VLOOKUP($D$6&amp;$E10,'Modality data'!$A$3:$AD$44,23,FALSE))</f>
        <v>0.26100000000000001</v>
      </c>
      <c r="K11" s="10">
        <f>IF(J10="","",VLOOKUP($D$6&amp;$E10,'Modality data'!$A$3:$AD$44,24,FALSE))</f>
        <v>0.26700000000000002</v>
      </c>
      <c r="L11" s="10">
        <f>IF(L10="","",VLOOKUP($D$6&amp;$E10,'Modality data'!$A$3:$AD$44,19,FALSE))</f>
        <v>0.01</v>
      </c>
      <c r="M11" s="10">
        <f>IF(L10="","",VLOOKUP($D$6&amp;$E10,'Modality data'!$A$3:$AD$44,20,FALSE))</f>
        <v>1.2E-2</v>
      </c>
      <c r="N11" s="10">
        <f>IF(N10="","",VLOOKUP($D$6&amp;$E10,'Modality data'!$A$3:$AD$44,17,FALSE))</f>
        <v>1.6E-2</v>
      </c>
      <c r="O11" s="10">
        <f>IF(N10="","",VLOOKUP($D$6&amp;$E10,'Modality data'!$A$3:$AD$44,18,FALSE))</f>
        <v>1.7999999999999999E-2</v>
      </c>
      <c r="P11" s="10">
        <f>IF(P10="","",VLOOKUP($D$6&amp;$E10,'Modality data'!$A$3:$AD$44,25,FALSE))</f>
        <v>0.01</v>
      </c>
      <c r="Q11" s="10">
        <f>IF(P10="","",VLOOKUP($D$6&amp;$E10,'Modality data'!$A$3:$AD$44,26,FALSE))</f>
        <v>1.2E-2</v>
      </c>
      <c r="R11" s="10">
        <f>IF(R10="","",VLOOKUP($D$6&amp;$E10,'Modality data'!$A$3:$AD$44,29,FALSE))</f>
        <v>0.32500000000000001</v>
      </c>
      <c r="S11" s="10">
        <f>IF(R10="","",VLOOKUP($D$6&amp;$E10,'Modality data'!$A$3:$AD$44,30,FALSE))</f>
        <v>0.33200000000000002</v>
      </c>
      <c r="T11" s="10">
        <f>IF(T10="","",VLOOKUP($D$6&amp;$E10,'Modality data'!$A$3:$AD$44,27,FALSE))</f>
        <v>0.14199999999999999</v>
      </c>
      <c r="U11" s="10">
        <f>IF(T10="","",VLOOKUP($D$6&amp;$E10,'Modality data'!$A$3:$AD$44,28,FALSE))</f>
        <v>0.14699999999999999</v>
      </c>
      <c r="V11" s="87"/>
      <c r="W11" s="84"/>
      <c r="Y11" s="18"/>
      <c r="Z11" s="18" t="s">
        <v>3</v>
      </c>
      <c r="AA11" s="20">
        <f>IF(OR(ISERROR(VLOOKUP($Y$7&amp;$Z11,'Modality data'!$A$3:$AD$44,4,FALSE)),ISBLANK(VLOOKUP($Y$7&amp;$Z11,'Modality data'!$A$3:$AD$44,4,FALSE))),"",VLOOKUP($Y$7&amp;$Z11,'Modality data'!$A$3:$AD$44,4,FALSE))</f>
        <v>7.2302767840331392E-2</v>
      </c>
      <c r="AB11" s="20">
        <f>IF(OR(ISERROR(VLOOKUP($Y$7&amp;$Z11,'Modality data'!$A$3:$AD$44,5,FALSE)),ISBLANK(VLOOKUP($Y$7&amp;$Z11,'Modality data'!$A$3:$AD$44,5,FALSE))),"",VLOOKUP($Y$7&amp;$Z11,'Modality data'!$A$3:$AD$44,5,FALSE))</f>
        <v>5.3285633590660894E-2</v>
      </c>
      <c r="AC11" s="20">
        <f>IF(OR(ISERROR(VLOOKUP($Y$7&amp;$Z11,'Modality data'!$A$3:$AD$44,6,FALSE)),ISBLANK(VLOOKUP($Y$7&amp;$Z11,'Modality data'!$A$3:$AD$44,6,FALSE))),"",VLOOKUP($Y$7&amp;$Z11,'Modality data'!$A$3:$AD$44,6,FALSE))</f>
        <v>8.2282056109960464E-2</v>
      </c>
      <c r="AD11" s="20">
        <f>IF(OR(ISERROR(VLOOKUP($Y$7&amp;$Z11,'Modality data'!$A$3:$AD$44,7,FALSE)),ISBLANK(VLOOKUP($Y$7&amp;$Z11,'Modality data'!$A$3:$AD$44,7,FALSE))),"",VLOOKUP($Y$7&amp;$Z11,'Modality data'!$A$3:$AD$44,7,FALSE))</f>
        <v>1.5816230465072492E-2</v>
      </c>
      <c r="AE11" s="20">
        <f>IF(OR(ISERROR(VLOOKUP($Y$7&amp;$Z11,'Modality data'!$A$3:$AD$44,8,FALSE)),ISBLANK(VLOOKUP($Y$7&amp;$Z11,'Modality data'!$A$3:$AD$44,8,FALSE))),"",VLOOKUP($Y$7&amp;$Z11,'Modality data'!$A$3:$AD$44,8,FALSE))</f>
        <v>5.9687441159856899E-2</v>
      </c>
      <c r="AF11" s="20">
        <f>IF(OR(ISERROR(VLOOKUP($Y$7&amp;$Z11,'Modality data'!$A$3:$AD$44,9,FALSE)),ISBLANK(VLOOKUP($Y$7&amp;$Z11,'Modality data'!$A$3:$AD$44,9,FALSE))),"",VLOOKUP($Y$7&amp;$Z11,'Modality data'!$A$3:$AD$44,9,FALSE))</f>
        <v>4.3494633778949347E-2</v>
      </c>
      <c r="AG11" s="20">
        <f>IF(OR(ISERROR(VLOOKUP($Y$7&amp;$Z11,'Modality data'!$A$3:$AD$44,10,FALSE)),ISBLANK(VLOOKUP($Y$7&amp;$Z11,'Modality data'!$A$3:$AD$44,10,FALSE))),"",VLOOKUP($Y$7&amp;$Z11,'Modality data'!$A$3:$AD$44,10,FALSE))</f>
        <v>0.62172848804368297</v>
      </c>
      <c r="AH11" s="20">
        <f>IF(OR(ISERROR(VLOOKUP($Y$7&amp;$Z11,'Modality data'!$A$3:$AD$44,11,FALSE)),ISBLANK(VLOOKUP($Y$7&amp;$Z11,'Modality data'!$A$3:$AD$44,11,FALSE))),"",VLOOKUP($Y$7&amp;$Z11,'Modality data'!$A$3:$AD$44,11,FALSE))</f>
        <v>5.1402749011485595E-2</v>
      </c>
    </row>
    <row r="12" spans="1:42" ht="15.75" x14ac:dyDescent="0.25">
      <c r="D12" s="107"/>
      <c r="E12" s="15" t="s">
        <v>2</v>
      </c>
      <c r="F12" s="85">
        <f>IF(OR(ISERROR(VLOOKUP($D$6&amp;$E12,'Modality data'!$A$3:$AD$44,4,FALSE)),ISBLANK(VLOOKUP($D$6&amp;$E12,'Modality data'!$A$3:$AD$44,4,FALSE))),"",VLOOKUP($D$6&amp;$E12,'Modality data'!$A$3:$AD$44,4,FALSE))</f>
        <v>0.21090201168072681</v>
      </c>
      <c r="G12" s="85"/>
      <c r="H12" s="85">
        <f>IF(OR(ISERROR(VLOOKUP($D$6&amp;$E12,'Modality data'!$A$3:$AD$44,7,FALSE)),ISBLANK(VLOOKUP($D$6&amp;$E12,'Modality data'!$A$3:$AD$44,7,FALSE))),"",VLOOKUP($D$6&amp;$E12,'Modality data'!$A$3:$AD$44,7,FALSE))</f>
        <v>6.8786502271252437E-2</v>
      </c>
      <c r="I12" s="85"/>
      <c r="J12" s="85">
        <f>IF(OR(ISERROR(VLOOKUP($D$6&amp;$E12,'Modality data'!$A$3:$AD$44,8,FALSE)),ISBLANK(VLOOKUP($D$6&amp;$E12,'Modality data'!$A$3:$AD$44,8,FALSE))),"",VLOOKUP($D$6&amp;$E12,'Modality data'!$A$3:$AD$44,8,FALSE))</f>
        <v>0.20368267358857883</v>
      </c>
      <c r="K12" s="85"/>
      <c r="L12" s="85">
        <f>IF(OR(ISERROR(VLOOKUP($D$6&amp;$E12,'Modality data'!$A$3:$AD$44,6,FALSE)),ISBLANK(VLOOKUP($D$6&amp;$E12,'Modality data'!$A$3:$AD$44,6,FALSE))),"",VLOOKUP($D$6&amp;$E12,'Modality data'!$A$3:$AD$44,6,FALSE))</f>
        <v>5.0129785853341984E-2</v>
      </c>
      <c r="M12" s="85"/>
      <c r="N12" s="85">
        <f>IF(OR(ISERROR(VLOOKUP($D$6&amp;$E12,'Modality data'!$A$3:$AD$44,5,FALSE)),ISBLANK(VLOOKUP($D$6&amp;$E12,'Modality data'!$A$3:$AD$44,5,FALSE))),"",VLOOKUP($D$6&amp;$E12,'Modality data'!$A$3:$AD$44,5,FALSE))</f>
        <v>3.6177806619078517E-2</v>
      </c>
      <c r="O12" s="85"/>
      <c r="P12" s="85">
        <f>IF(OR(ISERROR(VLOOKUP($D$6&amp;$E12,'Modality data'!$A$3:$AD$44,9,FALSE)),ISBLANK(VLOOKUP($D$6&amp;$E12,'Modality data'!$A$3:$AD$44,9,FALSE))),"",VLOOKUP($D$6&amp;$E12,'Modality data'!$A$3:$AD$44,9,FALSE))</f>
        <v>3.1716417910447763E-2</v>
      </c>
      <c r="Q12" s="85"/>
      <c r="R12" s="85">
        <f>IF(OR(ISERROR(VLOOKUP($D$6&amp;$E12,'Modality data'!$A$3:$AD$44,11,FALSE)),ISBLANK(VLOOKUP($D$6&amp;$E12,'Modality data'!$A$3:$AD$44,11,FALSE))),"",VLOOKUP($D$6&amp;$E12,'Modality data'!$A$3:$AD$44,11,FALSE))</f>
        <v>0.17147955872809864</v>
      </c>
      <c r="S12" s="85"/>
      <c r="T12" s="85">
        <f>IF(OR(ISERROR(VLOOKUP($D$6&amp;$E12,'Modality data'!$A$3:$AD$44,10,FALSE)),ISBLANK(VLOOKUP($D$6&amp;$E12,'Modality data'!$A$3:$AD$44,10,FALSE))),"",VLOOKUP($D$6&amp;$E12,'Modality data'!$A$3:$AD$44,10,FALSE))</f>
        <v>0.227125243348475</v>
      </c>
      <c r="U12" s="85"/>
      <c r="V12" s="86">
        <f>SUM(F12,N12,L12,H12,J12,P12,T12,R12)</f>
        <v>1</v>
      </c>
      <c r="W12" s="83">
        <f>IF(OR(ISERROR(VLOOKUP($D$6&amp;$E12,'Modality data'!$A$3:$AD$44,13,FALSE)),ISBLANK(VLOOKUP($D$6&amp;$E12,'Modality data'!$A$3:$AD$44,13,FALSE))),"",VLOOKUP($D$6&amp;$E12,'Modality data'!$A$3:$AD$44,13,FALSE))</f>
        <v>12328</v>
      </c>
      <c r="Y12" s="18"/>
      <c r="Z12" s="18" t="s">
        <v>4</v>
      </c>
      <c r="AA12" s="20">
        <f>IF(OR(ISERROR(VLOOKUP($Y$7&amp;$Z12,'Modality data'!$A$3:$AD$44,4,FALSE)),ISBLANK(VLOOKUP($Y$7&amp;$Z12,'Modality data'!$A$3:$AD$44,4,FALSE))),"",VLOOKUP($Y$7&amp;$Z12,'Modality data'!$A$3:$AD$44,4,FALSE))</f>
        <v>0.2564051240992794</v>
      </c>
      <c r="AB12" s="20">
        <f>IF(OR(ISERROR(VLOOKUP($Y$7&amp;$Z12,'Modality data'!$A$3:$AD$44,5,FALSE)),ISBLANK(VLOOKUP($Y$7&amp;$Z12,'Modality data'!$A$3:$AD$44,5,FALSE))),"",VLOOKUP($Y$7&amp;$Z12,'Modality data'!$A$3:$AD$44,5,FALSE))</f>
        <v>2.3618895116092876E-2</v>
      </c>
      <c r="AC12" s="20">
        <f>IF(OR(ISERROR(VLOOKUP($Y$7&amp;$Z12,'Modality data'!$A$3:$AD$44,6,FALSE)),ISBLANK(VLOOKUP($Y$7&amp;$Z12,'Modality data'!$A$3:$AD$44,6,FALSE))),"",VLOOKUP($Y$7&amp;$Z12,'Modality data'!$A$3:$AD$44,6,FALSE))</f>
        <v>5.244195356285028E-2</v>
      </c>
      <c r="AD12" s="20">
        <f>IF(OR(ISERROR(VLOOKUP($Y$7&amp;$Z12,'Modality data'!$A$3:$AD$44,7,FALSE)),ISBLANK(VLOOKUP($Y$7&amp;$Z12,'Modality data'!$A$3:$AD$44,7,FALSE))),"",VLOOKUP($Y$7&amp;$Z12,'Modality data'!$A$3:$AD$44,7,FALSE))</f>
        <v>5.944755804643715E-2</v>
      </c>
      <c r="AE12" s="20">
        <f>IF(OR(ISERROR(VLOOKUP($Y$7&amp;$Z12,'Modality data'!$A$3:$AD$44,8,FALSE)),ISBLANK(VLOOKUP($Y$7&amp;$Z12,'Modality data'!$A$3:$AD$44,8,FALSE))),"",VLOOKUP($Y$7&amp;$Z12,'Modality data'!$A$3:$AD$44,8,FALSE))</f>
        <v>0.25300240192153722</v>
      </c>
      <c r="AF12" s="20">
        <f>IF(OR(ISERROR(VLOOKUP($Y$7&amp;$Z12,'Modality data'!$A$3:$AD$44,9,FALSE)),ISBLANK(VLOOKUP($Y$7&amp;$Z12,'Modality data'!$A$3:$AD$44,9,FALSE))),"",VLOOKUP($Y$7&amp;$Z12,'Modality data'!$A$3:$AD$44,9,FALSE))</f>
        <v>2.822257806244996E-2</v>
      </c>
      <c r="AG12" s="20">
        <f>IF(OR(ISERROR(VLOOKUP($Y$7&amp;$Z12,'Modality data'!$A$3:$AD$44,10,FALSE)),ISBLANK(VLOOKUP($Y$7&amp;$Z12,'Modality data'!$A$3:$AD$44,10,FALSE))),"",VLOOKUP($Y$7&amp;$Z12,'Modality data'!$A$3:$AD$44,10,FALSE))</f>
        <v>0.18374699759807847</v>
      </c>
      <c r="AH12" s="20">
        <f>IF(OR(ISERROR(VLOOKUP($Y$7&amp;$Z12,'Modality data'!$A$3:$AD$44,11,FALSE)),ISBLANK(VLOOKUP($Y$7&amp;$Z12,'Modality data'!$A$3:$AD$44,11,FALSE))),"",VLOOKUP($Y$7&amp;$Z12,'Modality data'!$A$3:$AD$44,11,FALSE))</f>
        <v>0.14311449159327461</v>
      </c>
    </row>
    <row r="13" spans="1:42" ht="15.75" customHeight="1" thickBot="1" x14ac:dyDescent="0.3">
      <c r="D13" s="107"/>
      <c r="E13" s="9" t="s">
        <v>6</v>
      </c>
      <c r="F13" s="10">
        <f>IF(F12="","",VLOOKUP($D$6&amp;$E12,'Modality data'!$A$3:$AD$44,15,FALSE))</f>
        <v>0.20399999999999999</v>
      </c>
      <c r="G13" s="10">
        <f>IF(F12="","",VLOOKUP($D$6&amp;$E12,'Modality data'!$A$3:$AD$44,16,FALSE))</f>
        <v>0.218</v>
      </c>
      <c r="H13" s="10">
        <f>IF(H12="","",VLOOKUP($D$6&amp;$E12,'Modality data'!$A$3:$AD$44,21,FALSE))</f>
        <v>6.4000000000000001E-2</v>
      </c>
      <c r="I13" s="10">
        <f>IF(H12="","",VLOOKUP($D$6&amp;$E12,'Modality data'!$A$3:$AD$44,22,FALSE))</f>
        <v>7.2999999999999995E-2</v>
      </c>
      <c r="J13" s="10">
        <f>IF(J12="","",VLOOKUP($D$6&amp;$E12,'Modality data'!$A$3:$AD$44,23,FALSE))</f>
        <v>0.19700000000000001</v>
      </c>
      <c r="K13" s="10">
        <f>IF(J12="","",VLOOKUP($D$6&amp;$E12,'Modality data'!$A$3:$AD$44,24,FALSE))</f>
        <v>0.21099999999999999</v>
      </c>
      <c r="L13" s="10">
        <f>IF(L12="","",VLOOKUP($D$6&amp;$E12,'Modality data'!$A$3:$AD$44,19,FALSE))</f>
        <v>4.5999999999999999E-2</v>
      </c>
      <c r="M13" s="10">
        <f>IF(L12="","",VLOOKUP($D$6&amp;$E12,'Modality data'!$A$3:$AD$44,20,FALSE))</f>
        <v>5.3999999999999999E-2</v>
      </c>
      <c r="N13" s="10">
        <f>IF(N12="","",VLOOKUP($D$6&amp;$E12,'Modality data'!$A$3:$AD$44,17,FALSE))</f>
        <v>3.3000000000000002E-2</v>
      </c>
      <c r="O13" s="10">
        <f>IF(N12="","",VLOOKUP($D$6&amp;$E12,'Modality data'!$A$3:$AD$44,18,FALSE))</f>
        <v>0.04</v>
      </c>
      <c r="P13" s="10">
        <f>IF(P12="","",VLOOKUP($D$6&amp;$E12,'Modality data'!$A$3:$AD$44,25,FALSE))</f>
        <v>2.9000000000000001E-2</v>
      </c>
      <c r="Q13" s="10">
        <f>IF(P12="","",VLOOKUP($D$6&amp;$E12,'Modality data'!$A$3:$AD$44,26,FALSE))</f>
        <v>3.5000000000000003E-2</v>
      </c>
      <c r="R13" s="10">
        <f>IF(R12="","",VLOOKUP($D$6&amp;$E12,'Modality data'!$A$3:$AD$44,29,FALSE))</f>
        <v>0.16500000000000001</v>
      </c>
      <c r="S13" s="10">
        <f>IF(R12="","",VLOOKUP($D$6&amp;$E12,'Modality data'!$A$3:$AD$44,30,FALSE))</f>
        <v>0.17799999999999999</v>
      </c>
      <c r="T13" s="10">
        <f>IF(T12="","",VLOOKUP($D$6&amp;$E12,'Modality data'!$A$3:$AD$44,27,FALSE))</f>
        <v>0.22</v>
      </c>
      <c r="U13" s="10">
        <f>IF(T12="","",VLOOKUP($D$6&amp;$E12,'Modality data'!$A$3:$AD$44,28,FALSE))</f>
        <v>0.23499999999999999</v>
      </c>
      <c r="V13" s="87"/>
      <c r="W13" s="84"/>
      <c r="Y13" s="18"/>
      <c r="Z13" s="18" t="s">
        <v>34</v>
      </c>
      <c r="AA13" s="20">
        <f>IF(OR(ISERROR(VLOOKUP($Y$7&amp;$Z13,'Modality data'!$A$3:$AD$44,4,FALSE)),ISBLANK(VLOOKUP($Y$7&amp;$Z13,'Modality data'!$A$3:$AD$44,4,FALSE))),"",VLOOKUP($Y$7&amp;$Z13,'Modality data'!$A$3:$AD$44,4,FALSE))</f>
        <v>0.15855168295489303</v>
      </c>
      <c r="AB13" s="20">
        <f>IF(OR(ISERROR(VLOOKUP($Y$7&amp;$Z13,'Modality data'!$A$3:$AD$44,5,FALSE)),ISBLANK(VLOOKUP($Y$7&amp;$Z13,'Modality data'!$A$3:$AD$44,5,FALSE))),"",VLOOKUP($Y$7&amp;$Z13,'Modality data'!$A$3:$AD$44,5,FALSE))</f>
        <v>1.7120843589332791E-2</v>
      </c>
      <c r="AC13" s="20">
        <f>IF(OR(ISERROR(VLOOKUP($Y$7&amp;$Z13,'Modality data'!$A$3:$AD$44,6,FALSE)),ISBLANK(VLOOKUP($Y$7&amp;$Z13,'Modality data'!$A$3:$AD$44,6,FALSE))),"",VLOOKUP($Y$7&amp;$Z13,'Modality data'!$A$3:$AD$44,6,FALSE))</f>
        <v>1.887589391048515E-2</v>
      </c>
      <c r="AD13" s="20">
        <f>IF(OR(ISERROR(VLOOKUP($Y$7&amp;$Z13,'Modality data'!$A$3:$AD$44,7,FALSE)),ISBLANK(VLOOKUP($Y$7&amp;$Z13,'Modality data'!$A$3:$AD$44,7,FALSE))),"",VLOOKUP($Y$7&amp;$Z13,'Modality data'!$A$3:$AD$44,7,FALSE))</f>
        <v>5.8943474271399232E-2</v>
      </c>
      <c r="AE13" s="20">
        <f>IF(OR(ISERROR(VLOOKUP($Y$7&amp;$Z13,'Modality data'!$A$3:$AD$44,8,FALSE)),ISBLANK(VLOOKUP($Y$7&amp;$Z13,'Modality data'!$A$3:$AD$44,8,FALSE))),"",VLOOKUP($Y$7&amp;$Z13,'Modality data'!$A$3:$AD$44,8,FALSE))</f>
        <v>0.34322521446569276</v>
      </c>
      <c r="AF13" s="20">
        <f>IF(OR(ISERROR(VLOOKUP($Y$7&amp;$Z13,'Modality data'!$A$3:$AD$44,9,FALSE)),ISBLANK(VLOOKUP($Y$7&amp;$Z13,'Modality data'!$A$3:$AD$44,9,FALSE))),"",VLOOKUP($Y$7&amp;$Z13,'Modality data'!$A$3:$AD$44,9,FALSE))</f>
        <v>1.331944828791564E-2</v>
      </c>
      <c r="AG13" s="20">
        <f>IF(OR(ISERROR(VLOOKUP($Y$7&amp;$Z13,'Modality data'!$A$3:$AD$44,10,FALSE)),ISBLANK(VLOOKUP($Y$7&amp;$Z13,'Modality data'!$A$3:$AD$44,10,FALSE))),"",VLOOKUP($Y$7&amp;$Z13,'Modality data'!$A$3:$AD$44,10,FALSE))</f>
        <v>0.137170654976041</v>
      </c>
      <c r="AH13" s="20">
        <f>IF(OR(ISERROR(VLOOKUP($Y$7&amp;$Z13,'Modality data'!$A$3:$AD$44,11,FALSE)),ISBLANK(VLOOKUP($Y$7&amp;$Z13,'Modality data'!$A$3:$AD$44,11,FALSE))),"",VLOOKUP($Y$7&amp;$Z13,'Modality data'!$A$3:$AD$44,11,FALSE))</f>
        <v>0.25279278754424039</v>
      </c>
    </row>
    <row r="14" spans="1:42" ht="15.75" x14ac:dyDescent="0.25">
      <c r="D14" s="107"/>
      <c r="E14" s="14" t="s">
        <v>32</v>
      </c>
      <c r="F14" s="85">
        <f>IF(OR(ISERROR(VLOOKUP($D$6&amp;$E14,'Modality data'!$A$3:$AD$44,4,FALSE)),ISBLANK(VLOOKUP($D$6&amp;$E14,'Modality data'!$A$3:$AD$44,4,FALSE))),"",VLOOKUP($D$6&amp;$E14,'Modality data'!$A$3:$AD$44,4,FALSE))</f>
        <v>0.23100473142220984</v>
      </c>
      <c r="G14" s="85"/>
      <c r="H14" s="85">
        <f>IF(OR(ISERROR(VLOOKUP($D$6&amp;$E14,'Modality data'!$A$3:$AD$44,7,FALSE)),ISBLANK(VLOOKUP($D$6&amp;$E14,'Modality data'!$A$3:$AD$44,7,FALSE))),"",VLOOKUP($D$6&amp;$E14,'Modality data'!$A$3:$AD$44,7,FALSE))</f>
        <v>7.7929306985805732E-2</v>
      </c>
      <c r="I14" s="85"/>
      <c r="J14" s="85">
        <f>IF(OR(ISERROR(VLOOKUP($D$6&amp;$E14,'Modality data'!$A$3:$AD$44,8,FALSE)),ISBLANK(VLOOKUP($D$6&amp;$E14,'Modality data'!$A$3:$AD$44,8,FALSE))),"",VLOOKUP($D$6&amp;$E14,'Modality data'!$A$3:$AD$44,8,FALSE))</f>
        <v>0.25048705816866129</v>
      </c>
      <c r="K14" s="85"/>
      <c r="L14" s="85">
        <f>IF(OR(ISERROR(VLOOKUP($D$6&amp;$E14,'Modality data'!$A$3:$AD$44,6,FALSE)),ISBLANK(VLOOKUP($D$6&amp;$E14,'Modality data'!$A$3:$AD$44,6,FALSE))),"",VLOOKUP($D$6&amp;$E14,'Modality data'!$A$3:$AD$44,6,FALSE))</f>
        <v>3.4789869190091846E-2</v>
      </c>
      <c r="M14" s="85"/>
      <c r="N14" s="85">
        <f>IF(OR(ISERROR(VLOOKUP($D$6&amp;$E14,'Modality data'!$A$3:$AD$44,5,FALSE)),ISBLANK(VLOOKUP($D$6&amp;$E14,'Modality data'!$A$3:$AD$44,5,FALSE))),"",VLOOKUP($D$6&amp;$E14,'Modality data'!$A$3:$AD$44,5,FALSE))</f>
        <v>4.842749791260785E-2</v>
      </c>
      <c r="O14" s="85"/>
      <c r="P14" s="85">
        <f>IF(OR(ISERROR(VLOOKUP($D$6&amp;$E14,'Modality data'!$A$3:$AD$44,9,FALSE)),ISBLANK(VLOOKUP($D$6&amp;$E14,'Modality data'!$A$3:$AD$44,9,FALSE))),"",VLOOKUP($D$6&amp;$E14,'Modality data'!$A$3:$AD$44,9,FALSE))</f>
        <v>3.3676593376008909E-2</v>
      </c>
      <c r="Q14" s="85"/>
      <c r="R14" s="85">
        <f>IF(OR(ISERROR(VLOOKUP($D$6&amp;$E14,'Modality data'!$A$3:$AD$44,11,FALSE)),ISBLANK(VLOOKUP($D$6&amp;$E14,'Modality data'!$A$3:$AD$44,11,FALSE))),"",VLOOKUP($D$6&amp;$E14,'Modality data'!$A$3:$AD$44,11,FALSE))</f>
        <v>0.14082939048149179</v>
      </c>
      <c r="S14" s="85"/>
      <c r="T14" s="85">
        <f>IF(OR(ISERROR(VLOOKUP($D$6&amp;$E14,'Modality data'!$A$3:$AD$44,10,FALSE)),ISBLANK(VLOOKUP($D$6&amp;$E14,'Modality data'!$A$3:$AD$44,10,FALSE))),"",VLOOKUP($D$6&amp;$E14,'Modality data'!$A$3:$AD$44,10,FALSE))</f>
        <v>0.18285555246312274</v>
      </c>
      <c r="U14" s="85"/>
      <c r="V14" s="86">
        <f>SUM(F14,N14,L14,H14,J14,P14,T14,R14)</f>
        <v>1</v>
      </c>
      <c r="W14" s="83">
        <f>IF(OR(ISERROR(VLOOKUP($D$6&amp;$E14,'Modality data'!$A$3:$AD$44,13,FALSE)),ISBLANK(VLOOKUP($D$6&amp;$E14,'Modality data'!$A$3:$AD$44,13,FALSE))),"",VLOOKUP($D$6&amp;$E14,'Modality data'!$A$3:$AD$44,13,FALSE))</f>
        <v>3593</v>
      </c>
    </row>
    <row r="15" spans="1:42" ht="15.75" customHeight="1" thickBot="1" x14ac:dyDescent="0.3">
      <c r="D15" s="107"/>
      <c r="E15" s="9" t="s">
        <v>6</v>
      </c>
      <c r="F15" s="10">
        <f>IF(F14="","",VLOOKUP($D$6&amp;$E14,'Modality data'!$A$3:$AD$44,15,FALSE))</f>
        <v>0.218</v>
      </c>
      <c r="G15" s="10">
        <f>IF(F14="","",VLOOKUP($D$6&amp;$E14,'Modality data'!$A$3:$AD$44,16,FALSE))</f>
        <v>0.245</v>
      </c>
      <c r="H15" s="10">
        <f>IF(H14="","",VLOOKUP($D$6&amp;$E14,'Modality data'!$A$3:$AD$44,21,FALSE))</f>
        <v>7.0000000000000007E-2</v>
      </c>
      <c r="I15" s="10">
        <f>IF(H14="","",VLOOKUP($D$6&amp;$E14,'Modality data'!$A$3:$AD$44,22,FALSE))</f>
        <v>8.6999999999999994E-2</v>
      </c>
      <c r="J15" s="10">
        <f>IF(J14="","",VLOOKUP($D$6&amp;$E14,'Modality data'!$A$3:$AD$44,23,FALSE))</f>
        <v>0.23699999999999999</v>
      </c>
      <c r="K15" s="10">
        <f>IF(J14="","",VLOOKUP($D$6&amp;$E14,'Modality data'!$A$3:$AD$44,24,FALSE))</f>
        <v>0.26500000000000001</v>
      </c>
      <c r="L15" s="10">
        <f>IF(L14="","",VLOOKUP($D$6&amp;$E14,'Modality data'!$A$3:$AD$44,19,FALSE))</f>
        <v>2.9000000000000001E-2</v>
      </c>
      <c r="M15" s="10">
        <f>IF(L14="","",VLOOKUP($D$6&amp;$E14,'Modality data'!$A$3:$AD$44,20,FALSE))</f>
        <v>4.1000000000000002E-2</v>
      </c>
      <c r="N15" s="10">
        <f>IF(N14="","",VLOOKUP($D$6&amp;$E14,'Modality data'!$A$3:$AD$44,17,FALSE))</f>
        <v>4.2000000000000003E-2</v>
      </c>
      <c r="O15" s="10">
        <f>IF(N14="","",VLOOKUP($D$6&amp;$E14,'Modality data'!$A$3:$AD$44,18,FALSE))</f>
        <v>5.6000000000000001E-2</v>
      </c>
      <c r="P15" s="10">
        <f>IF(P14="","",VLOOKUP($D$6&amp;$E14,'Modality data'!$A$3:$AD$44,25,FALSE))</f>
        <v>2.8000000000000001E-2</v>
      </c>
      <c r="Q15" s="10">
        <f>IF(P14="","",VLOOKUP($D$6&amp;$E14,'Modality data'!$A$3:$AD$44,26,FALSE))</f>
        <v>0.04</v>
      </c>
      <c r="R15" s="10">
        <f>IF(R14="","",VLOOKUP($D$6&amp;$E14,'Modality data'!$A$3:$AD$44,29,FALSE))</f>
        <v>0.13</v>
      </c>
      <c r="S15" s="10">
        <f>IF(R14="","",VLOOKUP($D$6&amp;$E14,'Modality data'!$A$3:$AD$44,30,FALSE))</f>
        <v>0.153</v>
      </c>
      <c r="T15" s="10">
        <f>IF(T14="","",VLOOKUP($D$6&amp;$E14,'Modality data'!$A$3:$AD$44,27,FALSE))</f>
        <v>0.17100000000000001</v>
      </c>
      <c r="U15" s="10">
        <f>IF(T14="","",VLOOKUP($D$6&amp;$E14,'Modality data'!$A$3:$AD$44,28,FALSE))</f>
        <v>0.19600000000000001</v>
      </c>
      <c r="V15" s="87"/>
      <c r="W15" s="84"/>
    </row>
    <row r="16" spans="1:42" ht="15.75" x14ac:dyDescent="0.25">
      <c r="D16" s="107"/>
      <c r="E16" s="14" t="s">
        <v>3</v>
      </c>
      <c r="F16" s="85">
        <f>IF(OR(ISERROR(VLOOKUP($D$6&amp;$E16,'Modality data'!$A$3:$AD$44,4,FALSE)),ISBLANK(VLOOKUP($D$6&amp;$E16,'Modality data'!$A$3:$AD$44,4,FALSE))),"",VLOOKUP($D$6&amp;$E16,'Modality data'!$A$3:$AD$44,4,FALSE))</f>
        <v>7.2302767840331392E-2</v>
      </c>
      <c r="G16" s="85"/>
      <c r="H16" s="85">
        <f>IF(OR(ISERROR(VLOOKUP($D$6&amp;$E16,'Modality data'!$A$3:$AD$44,7,FALSE)),ISBLANK(VLOOKUP($D$6&amp;$E16,'Modality data'!$A$3:$AD$44,7,FALSE))),"",VLOOKUP($D$6&amp;$E16,'Modality data'!$A$3:$AD$44,7,FALSE))</f>
        <v>1.5816230465072492E-2</v>
      </c>
      <c r="I16" s="85"/>
      <c r="J16" s="85">
        <f>IF(OR(ISERROR(VLOOKUP($D$6&amp;$E16,'Modality data'!$A$3:$AD$44,8,FALSE)),ISBLANK(VLOOKUP($D$6&amp;$E16,'Modality data'!$A$3:$AD$44,8,FALSE))),"",VLOOKUP($D$6&amp;$E16,'Modality data'!$A$3:$AD$44,8,FALSE))</f>
        <v>5.9687441159856899E-2</v>
      </c>
      <c r="K16" s="85"/>
      <c r="L16" s="85">
        <f>IF(OR(ISERROR(VLOOKUP($D$6&amp;$E16,'Modality data'!$A$3:$AD$44,6,FALSE)),ISBLANK(VLOOKUP($D$6&amp;$E16,'Modality data'!$A$3:$AD$44,6,FALSE))),"",VLOOKUP($D$6&amp;$E16,'Modality data'!$A$3:$AD$44,6,FALSE))</f>
        <v>8.2282056109960464E-2</v>
      </c>
      <c r="M16" s="85"/>
      <c r="N16" s="85">
        <f>IF(OR(ISERROR(VLOOKUP($D$6&amp;$E16,'Modality data'!$A$3:$AD$44,5,FALSE)),ISBLANK(VLOOKUP($D$6&amp;$E16,'Modality data'!$A$3:$AD$44,5,FALSE))),"",VLOOKUP($D$6&amp;$E16,'Modality data'!$A$3:$AD$44,5,FALSE))</f>
        <v>5.3285633590660894E-2</v>
      </c>
      <c r="O16" s="85"/>
      <c r="P16" s="85">
        <f>IF(OR(ISERROR(VLOOKUP($D$6&amp;$E16,'Modality data'!$A$3:$AD$44,9,FALSE)),ISBLANK(VLOOKUP($D$6&amp;$E16,'Modality data'!$A$3:$AD$44,9,FALSE))),"",VLOOKUP($D$6&amp;$E16,'Modality data'!$A$3:$AD$44,9,FALSE))</f>
        <v>4.3494633778949347E-2</v>
      </c>
      <c r="Q16" s="85"/>
      <c r="R16" s="85">
        <f>IF(OR(ISERROR(VLOOKUP($D$6&amp;$E16,'Modality data'!$A$3:$AD$44,11,FALSE)),ISBLANK(VLOOKUP($D$6&amp;$E16,'Modality data'!$A$3:$AD$44,11,FALSE))),"",VLOOKUP($D$6&amp;$E16,'Modality data'!$A$3:$AD$44,11,FALSE))</f>
        <v>5.1402749011485595E-2</v>
      </c>
      <c r="S16" s="85"/>
      <c r="T16" s="85">
        <f>IF(OR(ISERROR(VLOOKUP($D$6&amp;$E16,'Modality data'!$A$3:$AD$44,10,FALSE)),ISBLANK(VLOOKUP($D$6&amp;$E16,'Modality data'!$A$3:$AD$44,10,FALSE))),"",VLOOKUP($D$6&amp;$E16,'Modality data'!$A$3:$AD$44,10,FALSE))</f>
        <v>0.62172848804368297</v>
      </c>
      <c r="U16" s="85"/>
      <c r="V16" s="86">
        <f>SUM(F16,N16,L16,H16,J16,P16,T16,R16)</f>
        <v>1</v>
      </c>
      <c r="W16" s="83">
        <f>IF(OR(ISERROR(VLOOKUP($D$6&amp;$E16,'Modality data'!$A$3:$AD$44,13,FALSE)),ISBLANK(VLOOKUP($D$6&amp;$E16,'Modality data'!$A$3:$AD$44,13,FALSE))),"",VLOOKUP($D$6&amp;$E16,'Modality data'!$A$3:$AD$44,13,FALSE))</f>
        <v>5311</v>
      </c>
    </row>
    <row r="17" spans="1:27" ht="15.75" thickBot="1" x14ac:dyDescent="0.3">
      <c r="D17" s="107"/>
      <c r="E17" s="9" t="s">
        <v>6</v>
      </c>
      <c r="F17" s="10">
        <f>IF(F16="","",VLOOKUP($D$6&amp;$E16,'Modality data'!$A$3:$AD$44,15,FALSE))</f>
        <v>6.6000000000000003E-2</v>
      </c>
      <c r="G17" s="10">
        <f>IF(F16="","",VLOOKUP($D$6&amp;$E16,'Modality data'!$A$3:$AD$44,16,FALSE))</f>
        <v>0.08</v>
      </c>
      <c r="H17" s="10">
        <f>IF(H16="","",VLOOKUP($D$6&amp;$E16,'Modality data'!$A$3:$AD$44,21,FALSE))</f>
        <v>1.2999999999999999E-2</v>
      </c>
      <c r="I17" s="10">
        <f>IF(H16="","",VLOOKUP($D$6&amp;$E16,'Modality data'!$A$3:$AD$44,22,FALSE))</f>
        <v>0.02</v>
      </c>
      <c r="J17" s="10">
        <f>IF(J16="","",VLOOKUP($D$6&amp;$E16,'Modality data'!$A$3:$AD$44,23,FALSE))</f>
        <v>5.3999999999999999E-2</v>
      </c>
      <c r="K17" s="10">
        <f>IF(J16="","",VLOOKUP($D$6&amp;$E16,'Modality data'!$A$3:$AD$44,24,FALSE))</f>
        <v>6.6000000000000003E-2</v>
      </c>
      <c r="L17" s="10">
        <f>IF(L16="","",VLOOKUP($D$6&amp;$E16,'Modality data'!$A$3:$AD$44,19,FALSE))</f>
        <v>7.4999999999999997E-2</v>
      </c>
      <c r="M17" s="10">
        <f>IF(L16="","",VLOOKUP($D$6&amp;$E16,'Modality data'!$A$3:$AD$44,20,FALSE))</f>
        <v>0.09</v>
      </c>
      <c r="N17" s="10">
        <f>IF(N16="","",VLOOKUP($D$6&amp;$E16,'Modality data'!$A$3:$AD$44,17,FALSE))</f>
        <v>4.8000000000000001E-2</v>
      </c>
      <c r="O17" s="10">
        <f>IF(N16="","",VLOOKUP($D$6&amp;$E16,'Modality data'!$A$3:$AD$44,18,FALSE))</f>
        <v>0.06</v>
      </c>
      <c r="P17" s="10">
        <f>IF(P16="","",VLOOKUP($D$6&amp;$E16,'Modality data'!$A$3:$AD$44,25,FALSE))</f>
        <v>3.7999999999999999E-2</v>
      </c>
      <c r="Q17" s="10">
        <f>IF(P16="","",VLOOKUP($D$6&amp;$E16,'Modality data'!$A$3:$AD$44,26,FALSE))</f>
        <v>4.9000000000000002E-2</v>
      </c>
      <c r="R17" s="10">
        <f>IF(R16="","",VLOOKUP($D$6&amp;$E16,'Modality data'!$A$3:$AD$44,29,FALSE))</f>
        <v>4.5999999999999999E-2</v>
      </c>
      <c r="S17" s="10">
        <f>IF(R16="","",VLOOKUP($D$6&amp;$E16,'Modality data'!$A$3:$AD$44,30,FALSE))</f>
        <v>5.8000000000000003E-2</v>
      </c>
      <c r="T17" s="10">
        <f>IF(T16="","",VLOOKUP($D$6&amp;$E16,'Modality data'!$A$3:$AD$44,27,FALSE))</f>
        <v>0.60899999999999999</v>
      </c>
      <c r="U17" s="10">
        <f>IF(T16="","",VLOOKUP($D$6&amp;$E16,'Modality data'!$A$3:$AD$44,28,FALSE))</f>
        <v>0.63500000000000001</v>
      </c>
      <c r="V17" s="87"/>
      <c r="W17" s="84"/>
    </row>
    <row r="18" spans="1:27" ht="15.75" x14ac:dyDescent="0.25">
      <c r="D18" s="107"/>
      <c r="E18" s="14" t="s">
        <v>4</v>
      </c>
      <c r="F18" s="85">
        <f>IF(OR(ISERROR(VLOOKUP($D$6&amp;$E18,'Modality data'!$A$3:$AD$44,4,FALSE)),ISBLANK(VLOOKUP($D$6&amp;$E18,'Modality data'!$A$3:$AD$44,4,FALSE))),"",VLOOKUP($D$6&amp;$E18,'Modality data'!$A$3:$AD$44,4,FALSE))</f>
        <v>0.2564051240992794</v>
      </c>
      <c r="G18" s="85"/>
      <c r="H18" s="85">
        <f>IF(OR(ISERROR(VLOOKUP($D$6&amp;$E18,'Modality data'!$A$3:$AD$44,7,FALSE)),ISBLANK(VLOOKUP($D$6&amp;$E18,'Modality data'!$A$3:$AD$44,7,FALSE))),"",VLOOKUP($D$6&amp;$E18,'Modality data'!$A$3:$AD$44,7,FALSE))</f>
        <v>5.944755804643715E-2</v>
      </c>
      <c r="I18" s="85"/>
      <c r="J18" s="85">
        <f>IF(OR(ISERROR(VLOOKUP($D$6&amp;$E18,'Modality data'!$A$3:$AD$44,8,FALSE)),ISBLANK(VLOOKUP($D$6&amp;$E18,'Modality data'!$A$3:$AD$44,8,FALSE))),"",VLOOKUP($D$6&amp;$E18,'Modality data'!$A$3:$AD$44,8,FALSE))</f>
        <v>0.25300240192153722</v>
      </c>
      <c r="K18" s="85"/>
      <c r="L18" s="85">
        <f>IF(OR(ISERROR(VLOOKUP($D$6&amp;$E18,'Modality data'!$A$3:$AD$44,6,FALSE)),ISBLANK(VLOOKUP($D$6&amp;$E18,'Modality data'!$A$3:$AD$44,6,FALSE))),"",VLOOKUP($D$6&amp;$E18,'Modality data'!$A$3:$AD$44,6,FALSE))</f>
        <v>5.244195356285028E-2</v>
      </c>
      <c r="M18" s="85"/>
      <c r="N18" s="85">
        <f>IF(OR(ISERROR(VLOOKUP($D$6&amp;$E18,'Modality data'!$A$3:$AD$44,5,FALSE)),ISBLANK(VLOOKUP($D$6&amp;$E18,'Modality data'!$A$3:$AD$44,5,FALSE))),"",VLOOKUP($D$6&amp;$E18,'Modality data'!$A$3:$AD$44,5,FALSE))</f>
        <v>2.3618895116092876E-2</v>
      </c>
      <c r="O18" s="85"/>
      <c r="P18" s="85">
        <f>IF(OR(ISERROR(VLOOKUP($D$6&amp;$E18,'Modality data'!$A$3:$AD$44,9,FALSE)),ISBLANK(VLOOKUP($D$6&amp;$E18,'Modality data'!$A$3:$AD$44,9,FALSE))),"",VLOOKUP($D$6&amp;$E18,'Modality data'!$A$3:$AD$44,9,FALSE))</f>
        <v>2.822257806244996E-2</v>
      </c>
      <c r="Q18" s="85"/>
      <c r="R18" s="85">
        <f>IF(OR(ISERROR(VLOOKUP($D$6&amp;$E18,'Modality data'!$A$3:$AD$44,11,FALSE)),ISBLANK(VLOOKUP($D$6&amp;$E18,'Modality data'!$A$3:$AD$44,11,FALSE))),"",VLOOKUP($D$6&amp;$E18,'Modality data'!$A$3:$AD$44,11,FALSE))</f>
        <v>0.14311449159327461</v>
      </c>
      <c r="S18" s="85"/>
      <c r="T18" s="85">
        <f>IF(OR(ISERROR(VLOOKUP($D$6&amp;$E18,'Modality data'!$A$3:$AD$44,10,FALSE)),ISBLANK(VLOOKUP($D$6&amp;$E18,'Modality data'!$A$3:$AD$44,10,FALSE))),"",VLOOKUP($D$6&amp;$E18,'Modality data'!$A$3:$AD$44,10,FALSE))</f>
        <v>0.18374699759807847</v>
      </c>
      <c r="U18" s="85"/>
      <c r="V18" s="86">
        <f>SUM(F18,N18,L18,H18,J18,P18,T18,R18)</f>
        <v>0.99999999999999989</v>
      </c>
      <c r="W18" s="83">
        <f>IF(OR(ISERROR(VLOOKUP($D$6&amp;$E18,'Modality data'!$A$3:$AD$44,13,FALSE)),ISBLANK(VLOOKUP($D$6&amp;$E18,'Modality data'!$A$3:$AD$44,13,FALSE))),"",VLOOKUP($D$6&amp;$E18,'Modality data'!$A$3:$AD$44,13,FALSE))</f>
        <v>4996</v>
      </c>
    </row>
    <row r="19" spans="1:27" ht="15.75" customHeight="1" thickBot="1" x14ac:dyDescent="0.3">
      <c r="D19" s="107"/>
      <c r="E19" s="9" t="s">
        <v>6</v>
      </c>
      <c r="F19" s="10">
        <f>IF(F18="","",VLOOKUP($D$6&amp;$E18,'Modality data'!$A$3:$AD$44,15,FALSE))</f>
        <v>0.24399999999999999</v>
      </c>
      <c r="G19" s="10">
        <f>IF(F18="","",VLOOKUP($D$6&amp;$E18,'Modality data'!$A$3:$AD$44,16,FALSE))</f>
        <v>0.26900000000000002</v>
      </c>
      <c r="H19" s="10">
        <f>IF(H18="","",VLOOKUP($D$6&amp;$E18,'Modality data'!$A$3:$AD$44,21,FALSE))</f>
        <v>5.2999999999999999E-2</v>
      </c>
      <c r="I19" s="10">
        <f>IF(H18="","",VLOOKUP($D$6&amp;$E18,'Modality data'!$A$3:$AD$44,22,FALSE))</f>
        <v>6.6000000000000003E-2</v>
      </c>
      <c r="J19" s="10">
        <f>IF(J18="","",VLOOKUP($D$6&amp;$E18,'Modality data'!$A$3:$AD$44,23,FALSE))</f>
        <v>0.24099999999999999</v>
      </c>
      <c r="K19" s="10">
        <f>IF(J18="","",VLOOKUP($D$6&amp;$E18,'Modality data'!$A$3:$AD$44,24,FALSE))</f>
        <v>0.26500000000000001</v>
      </c>
      <c r="L19" s="10">
        <f>IF(L18="","",VLOOKUP($D$6&amp;$E18,'Modality data'!$A$3:$AD$44,19,FALSE))</f>
        <v>4.7E-2</v>
      </c>
      <c r="M19" s="10">
        <f>IF(L18="","",VLOOKUP($D$6&amp;$E18,'Modality data'!$A$3:$AD$44,20,FALSE))</f>
        <v>5.8999999999999997E-2</v>
      </c>
      <c r="N19" s="10">
        <f>IF(N18="","",VLOOKUP($D$6&amp;$E18,'Modality data'!$A$3:$AD$44,17,FALSE))</f>
        <v>0.02</v>
      </c>
      <c r="O19" s="10">
        <f>IF(N18="","",VLOOKUP($D$6&amp;$E18,'Modality data'!$A$3:$AD$44,18,FALSE))</f>
        <v>2.8000000000000001E-2</v>
      </c>
      <c r="P19" s="10">
        <f>IF(P18="","",VLOOKUP($D$6&amp;$E18,'Modality data'!$A$3:$AD$44,25,FALSE))</f>
        <v>2.4E-2</v>
      </c>
      <c r="Q19" s="10">
        <f>IF(P18="","",VLOOKUP($D$6&amp;$E18,'Modality data'!$A$3:$AD$44,26,FALSE))</f>
        <v>3.3000000000000002E-2</v>
      </c>
      <c r="R19" s="10">
        <f>IF(R18="","",VLOOKUP($D$6&amp;$E18,'Modality data'!$A$3:$AD$44,29,FALSE))</f>
        <v>0.13400000000000001</v>
      </c>
      <c r="S19" s="10">
        <f>IF(R18="","",VLOOKUP($D$6&amp;$E18,'Modality data'!$A$3:$AD$44,30,FALSE))</f>
        <v>0.153</v>
      </c>
      <c r="T19" s="10">
        <f>IF(T18="","",VLOOKUP($D$6&amp;$E18,'Modality data'!$A$3:$AD$44,27,FALSE))</f>
        <v>0.17299999999999999</v>
      </c>
      <c r="U19" s="10">
        <f>IF(T18="","",VLOOKUP($D$6&amp;$E18,'Modality data'!$A$3:$AD$44,28,FALSE))</f>
        <v>0.19500000000000001</v>
      </c>
      <c r="V19" s="87"/>
      <c r="W19" s="84"/>
    </row>
    <row r="20" spans="1:27" ht="15.75" x14ac:dyDescent="0.25">
      <c r="D20" s="107"/>
      <c r="E20" s="14" t="s">
        <v>34</v>
      </c>
      <c r="F20" s="85">
        <f>IF(OR(ISERROR(VLOOKUP($D$6&amp;$E20,'Modality data'!$A$3:$AD$44,4,FALSE)),ISBLANK(VLOOKUP($D$6&amp;$E20,'Modality data'!$A$3:$AD$44,4,FALSE))),"",VLOOKUP($D$6&amp;$E20,'Modality data'!$A$3:$AD$44,4,FALSE))</f>
        <v>0.15855168295489303</v>
      </c>
      <c r="G20" s="85"/>
      <c r="H20" s="85">
        <f>IF(OR(ISERROR(VLOOKUP($D$6&amp;$E20,'Modality data'!$A$3:$AD$44,7,FALSE)),ISBLANK(VLOOKUP($D$6&amp;$E20,'Modality data'!$A$3:$AD$44,7,FALSE))),"",VLOOKUP($D$6&amp;$E20,'Modality data'!$A$3:$AD$44,7,FALSE))</f>
        <v>5.8943474271399232E-2</v>
      </c>
      <c r="I20" s="85"/>
      <c r="J20" s="85">
        <f>IF(OR(ISERROR(VLOOKUP($D$6&amp;$E20,'Modality data'!$A$3:$AD$44,8,FALSE)),ISBLANK(VLOOKUP($D$6&amp;$E20,'Modality data'!$A$3:$AD$44,8,FALSE))),"",VLOOKUP($D$6&amp;$E20,'Modality data'!$A$3:$AD$44,8,FALSE))</f>
        <v>0.34322521446569276</v>
      </c>
      <c r="K20" s="85"/>
      <c r="L20" s="85">
        <f>IF(OR(ISERROR(VLOOKUP($D$6&amp;$E20,'Modality data'!$A$3:$AD$44,6,FALSE)),ISBLANK(VLOOKUP($D$6&amp;$E20,'Modality data'!$A$3:$AD$44,6,FALSE))),"",VLOOKUP($D$6&amp;$E20,'Modality data'!$A$3:$AD$44,6,FALSE))</f>
        <v>1.887589391048515E-2</v>
      </c>
      <c r="M20" s="85"/>
      <c r="N20" s="85">
        <f>IF(OR(ISERROR(VLOOKUP($D$6&amp;$E20,'Modality data'!$A$3:$AD$44,5,FALSE)),ISBLANK(VLOOKUP($D$6&amp;$E20,'Modality data'!$A$3:$AD$44,5,FALSE))),"",VLOOKUP($D$6&amp;$E20,'Modality data'!$A$3:$AD$44,5,FALSE))</f>
        <v>1.7120843589332791E-2</v>
      </c>
      <c r="O20" s="85"/>
      <c r="P20" s="85">
        <f>IF(OR(ISERROR(VLOOKUP($D$6&amp;$E20,'Modality data'!$A$3:$AD$44,9,FALSE)),ISBLANK(VLOOKUP($D$6&amp;$E20,'Modality data'!$A$3:$AD$44,9,FALSE))),"",VLOOKUP($D$6&amp;$E20,'Modality data'!$A$3:$AD$44,9,FALSE))</f>
        <v>1.331944828791564E-2</v>
      </c>
      <c r="Q20" s="85"/>
      <c r="R20" s="85">
        <f>IF(OR(ISERROR(VLOOKUP($D$6&amp;$E20,'Modality data'!$A$3:$AD$44,11,FALSE)),ISBLANK(VLOOKUP($D$6&amp;$E20,'Modality data'!$A$3:$AD$44,11,FALSE))),"",VLOOKUP($D$6&amp;$E20,'Modality data'!$A$3:$AD$44,11,FALSE))</f>
        <v>0.25279278754424039</v>
      </c>
      <c r="S20" s="85"/>
      <c r="T20" s="85">
        <f>IF(OR(ISERROR(VLOOKUP($D$6&amp;$E20,'Modality data'!$A$3:$AD$44,10,FALSE)),ISBLANK(VLOOKUP($D$6&amp;$E20,'Modality data'!$A$3:$AD$44,10,FALSE))),"",VLOOKUP($D$6&amp;$E20,'Modality data'!$A$3:$AD$44,10,FALSE))</f>
        <v>0.137170654976041</v>
      </c>
      <c r="U20" s="85"/>
      <c r="V20" s="86">
        <f>SUM(F20,N20,L20,H20,J20,P20,T20,R20)</f>
        <v>1</v>
      </c>
      <c r="W20" s="83">
        <f>IF(OR(ISERROR(VLOOKUP($D$6&amp;$E20,'Modality data'!$A$3:$AD$44,13,FALSE)),ISBLANK(VLOOKUP($D$6&amp;$E20,'Modality data'!$A$3:$AD$44,13,FALSE))),"",VLOOKUP($D$6&amp;$E20,'Modality data'!$A$3:$AD$44,13,FALSE))</f>
        <v>137318</v>
      </c>
    </row>
    <row r="21" spans="1:27" ht="15.75" thickBot="1" x14ac:dyDescent="0.3">
      <c r="D21" s="108"/>
      <c r="E21" s="9" t="s">
        <v>6</v>
      </c>
      <c r="F21" s="10">
        <f>IF(F20="","",VLOOKUP($D$6&amp;$E20,'Modality data'!$A$3:$AD$44,15,FALSE))</f>
        <v>0.157</v>
      </c>
      <c r="G21" s="10">
        <f>IF(F20="","",VLOOKUP($D$6&amp;$E20,'Modality data'!$A$3:$AD$44,16,FALSE))</f>
        <v>0.16</v>
      </c>
      <c r="H21" s="10">
        <f>IF(H20="","",VLOOKUP($D$6&amp;$E20,'Modality data'!$A$3:$AD$44,21,FALSE))</f>
        <v>5.8000000000000003E-2</v>
      </c>
      <c r="I21" s="10">
        <f>IF(H20="","",VLOOKUP($D$6&amp;$E20,'Modality data'!$A$3:$AD$44,22,FALSE))</f>
        <v>0.06</v>
      </c>
      <c r="J21" s="10">
        <f>IF(J20="","",VLOOKUP($D$6&amp;$E20,'Modality data'!$A$3:$AD$44,23,FALSE))</f>
        <v>0.34100000000000003</v>
      </c>
      <c r="K21" s="10">
        <f>IF(J20="","",VLOOKUP($D$6&amp;$E20,'Modality data'!$A$3:$AD$44,24,FALSE))</f>
        <v>0.34599999999999997</v>
      </c>
      <c r="L21" s="10">
        <f>IF(L20="","",VLOOKUP($D$6&amp;$E20,'Modality data'!$A$3:$AD$44,19,FALSE))</f>
        <v>1.7999999999999999E-2</v>
      </c>
      <c r="M21" s="10">
        <f>IF(L20="","",VLOOKUP($D$6&amp;$E20,'Modality data'!$A$3:$AD$44,20,FALSE))</f>
        <v>0.02</v>
      </c>
      <c r="N21" s="10">
        <f>IF(N20="","",VLOOKUP($D$6&amp;$E20,'Modality data'!$A$3:$AD$44,17,FALSE))</f>
        <v>1.6E-2</v>
      </c>
      <c r="O21" s="10">
        <f>IF(N20="","",VLOOKUP($D$6&amp;$E20,'Modality data'!$A$3:$AD$44,18,FALSE))</f>
        <v>1.7999999999999999E-2</v>
      </c>
      <c r="P21" s="10">
        <f>IF(P20="","",VLOOKUP($D$6&amp;$E20,'Modality data'!$A$3:$AD$44,25,FALSE))</f>
        <v>1.2999999999999999E-2</v>
      </c>
      <c r="Q21" s="10">
        <f>IF(P20="","",VLOOKUP($D$6&amp;$E20,'Modality data'!$A$3:$AD$44,26,FALSE))</f>
        <v>1.4E-2</v>
      </c>
      <c r="R21" s="10">
        <f>IF(R20="","",VLOOKUP($D$6&amp;$E20,'Modality data'!$A$3:$AD$44,29,FALSE))</f>
        <v>0.251</v>
      </c>
      <c r="S21" s="10">
        <f>IF(R20="","",VLOOKUP($D$6&amp;$E20,'Modality data'!$A$3:$AD$44,30,FALSE))</f>
        <v>0.255</v>
      </c>
      <c r="T21" s="10">
        <f>IF(T20="","",VLOOKUP($D$6&amp;$E20,'Modality data'!$A$3:$AD$44,27,FALSE))</f>
        <v>0.13500000000000001</v>
      </c>
      <c r="U21" s="10">
        <f>IF(T20="","",VLOOKUP($D$6&amp;$E20,'Modality data'!$A$3:$AD$44,28,FALSE))</f>
        <v>0.13900000000000001</v>
      </c>
      <c r="V21" s="87"/>
      <c r="W21" s="84"/>
    </row>
    <row r="22" spans="1:27" x14ac:dyDescent="0.25">
      <c r="D22" s="4"/>
      <c r="V22" s="5"/>
      <c r="W22" s="5"/>
    </row>
    <row r="23" spans="1:27" ht="15.75" x14ac:dyDescent="0.25">
      <c r="A23" s="7"/>
      <c r="B23" s="7"/>
      <c r="C23" s="7"/>
      <c r="D23" s="109" t="s">
        <v>13</v>
      </c>
      <c r="E23" s="110"/>
      <c r="F23" s="110"/>
      <c r="G23" s="110"/>
      <c r="H23" s="110"/>
      <c r="I23" s="110"/>
      <c r="J23" s="110"/>
      <c r="K23" s="110"/>
      <c r="L23" s="110"/>
      <c r="M23" s="110"/>
      <c r="N23" s="110"/>
      <c r="O23" s="110"/>
      <c r="P23" s="110"/>
      <c r="Q23" s="110"/>
      <c r="R23" s="110"/>
      <c r="S23" s="110"/>
      <c r="T23" s="110"/>
      <c r="U23" s="110"/>
      <c r="V23" s="110"/>
      <c r="W23" s="110"/>
    </row>
    <row r="24" spans="1:27" ht="33" customHeight="1" x14ac:dyDescent="0.25">
      <c r="D24" s="104" t="s">
        <v>14</v>
      </c>
      <c r="E24" s="105"/>
      <c r="F24" s="105"/>
      <c r="G24" s="105"/>
      <c r="H24" s="105"/>
      <c r="I24" s="105"/>
      <c r="J24" s="105"/>
      <c r="K24" s="105"/>
      <c r="L24" s="105"/>
      <c r="M24" s="105"/>
      <c r="N24" s="105"/>
      <c r="O24" s="105"/>
      <c r="P24" s="105"/>
      <c r="Q24" s="105"/>
      <c r="R24" s="105"/>
      <c r="S24" s="105"/>
      <c r="T24" s="105"/>
      <c r="U24" s="105"/>
      <c r="V24" s="105"/>
      <c r="W24" s="105"/>
    </row>
    <row r="25" spans="1:27" ht="33.75" customHeight="1" x14ac:dyDescent="0.25">
      <c r="A25" s="7"/>
      <c r="B25" s="7"/>
      <c r="C25" s="7"/>
      <c r="D25" s="82" t="s">
        <v>95</v>
      </c>
      <c r="E25" s="82"/>
      <c r="F25" s="82"/>
      <c r="G25" s="82"/>
      <c r="H25" s="82"/>
      <c r="I25" s="82"/>
      <c r="J25" s="82"/>
      <c r="K25" s="82"/>
      <c r="L25" s="82"/>
      <c r="M25" s="82"/>
      <c r="N25" s="82"/>
      <c r="O25" s="82"/>
      <c r="P25" s="82"/>
      <c r="Q25" s="82"/>
      <c r="R25" s="82"/>
      <c r="S25" s="82"/>
      <c r="T25" s="82"/>
      <c r="U25" s="82"/>
      <c r="V25" s="82"/>
      <c r="W25" s="82"/>
    </row>
    <row r="26" spans="1:27" x14ac:dyDescent="0.25">
      <c r="D26" s="21"/>
      <c r="E26" s="52"/>
      <c r="F26" s="52"/>
      <c r="G26" s="52"/>
      <c r="H26" s="52"/>
      <c r="I26" s="52"/>
      <c r="J26" s="52"/>
      <c r="K26" s="52"/>
      <c r="L26" s="52"/>
      <c r="M26" s="52"/>
      <c r="N26" s="52"/>
      <c r="O26" s="52"/>
      <c r="P26" s="52"/>
      <c r="Q26" s="52"/>
      <c r="R26" s="52"/>
      <c r="S26" s="52"/>
      <c r="T26" s="52"/>
      <c r="U26" s="52"/>
      <c r="V26" s="52"/>
      <c r="W26" s="52"/>
      <c r="X26" s="21"/>
      <c r="Y26" s="21"/>
      <c r="Z26" s="21"/>
      <c r="AA26" s="21"/>
    </row>
    <row r="27" spans="1:27" x14ac:dyDescent="0.25">
      <c r="E27" s="21"/>
      <c r="F27" s="21"/>
      <c r="G27" s="21"/>
      <c r="H27" s="21"/>
      <c r="I27" s="21"/>
      <c r="J27" s="21"/>
      <c r="K27" s="21"/>
      <c r="L27" s="21"/>
      <c r="M27" s="21"/>
      <c r="N27" s="21"/>
      <c r="O27" s="21"/>
      <c r="P27" s="21"/>
      <c r="Q27" s="21"/>
      <c r="R27" s="21"/>
      <c r="S27" s="21"/>
      <c r="T27" s="21"/>
      <c r="U27" s="21"/>
      <c r="V27" s="21"/>
      <c r="W27" s="21"/>
      <c r="X27" s="21"/>
      <c r="Y27" s="21"/>
      <c r="Z27" s="21"/>
      <c r="AA27" s="21"/>
    </row>
    <row r="28" spans="1:27" ht="15.75" x14ac:dyDescent="0.25">
      <c r="A28" s="7"/>
      <c r="B28" s="7"/>
      <c r="C28" s="7"/>
      <c r="D28" s="12"/>
      <c r="N28" s="59"/>
    </row>
    <row r="30" spans="1:27" ht="15.75" x14ac:dyDescent="0.25">
      <c r="A30" s="7"/>
      <c r="B30" s="7"/>
      <c r="C30" s="7"/>
    </row>
    <row r="32" spans="1:27" ht="15.75" x14ac:dyDescent="0.25">
      <c r="A32" s="7"/>
      <c r="B32" s="7"/>
      <c r="C32" s="7"/>
    </row>
    <row r="34" spans="1:3" ht="15.75" x14ac:dyDescent="0.25">
      <c r="A34" s="7"/>
      <c r="B34" s="7"/>
      <c r="C34" s="7"/>
    </row>
    <row r="35" spans="1:3" x14ac:dyDescent="0.25">
      <c r="B35" s="11"/>
    </row>
    <row r="36" spans="1:3" ht="15.75" x14ac:dyDescent="0.25">
      <c r="A36" s="7"/>
      <c r="B36" s="7"/>
      <c r="C36" s="7"/>
    </row>
    <row r="38" spans="1:3" ht="15.75" x14ac:dyDescent="0.25">
      <c r="A38" s="7"/>
      <c r="B38" s="7"/>
      <c r="C38" s="7"/>
    </row>
    <row r="41" spans="1:3" ht="15.75" x14ac:dyDescent="0.25">
      <c r="A41" s="7"/>
      <c r="B41" s="7"/>
      <c r="C41" s="7"/>
    </row>
    <row r="43" spans="1:3" ht="15.75" x14ac:dyDescent="0.25">
      <c r="A43" s="7"/>
      <c r="B43" s="7"/>
      <c r="C43" s="7"/>
    </row>
    <row r="45" spans="1:3" ht="15.75" x14ac:dyDescent="0.25">
      <c r="A45" s="7"/>
      <c r="B45" s="7"/>
      <c r="C45" s="7"/>
    </row>
    <row r="47" spans="1:3" ht="15.75" x14ac:dyDescent="0.25">
      <c r="A47" s="7"/>
      <c r="B47" s="7"/>
      <c r="C47" s="7"/>
    </row>
    <row r="49" spans="1:23" ht="15.75" x14ac:dyDescent="0.25">
      <c r="A49" s="7"/>
      <c r="B49" s="7"/>
      <c r="C49" s="7"/>
    </row>
    <row r="50" spans="1:23" x14ac:dyDescent="0.25">
      <c r="D50" s="4"/>
    </row>
    <row r="51" spans="1:23" x14ac:dyDescent="0.25">
      <c r="V51" s="5"/>
      <c r="W51" s="5"/>
    </row>
  </sheetData>
  <mergeCells count="85">
    <mergeCell ref="P20:Q20"/>
    <mergeCell ref="T20:U20"/>
    <mergeCell ref="R20:S20"/>
    <mergeCell ref="V20:V21"/>
    <mergeCell ref="D24:W24"/>
    <mergeCell ref="D8:D21"/>
    <mergeCell ref="D23:W23"/>
    <mergeCell ref="T8:U8"/>
    <mergeCell ref="R8:S8"/>
    <mergeCell ref="F16:G16"/>
    <mergeCell ref="N16:O16"/>
    <mergeCell ref="L16:M16"/>
    <mergeCell ref="H16:I16"/>
    <mergeCell ref="J16:K16"/>
    <mergeCell ref="W20:W21"/>
    <mergeCell ref="F20:G20"/>
    <mergeCell ref="N20:O20"/>
    <mergeCell ref="L20:M20"/>
    <mergeCell ref="H20:I20"/>
    <mergeCell ref="J20:K20"/>
    <mergeCell ref="F18:G18"/>
    <mergeCell ref="N18:O18"/>
    <mergeCell ref="L18:M18"/>
    <mergeCell ref="H18:I18"/>
    <mergeCell ref="J18:K18"/>
    <mergeCell ref="P18:Q18"/>
    <mergeCell ref="T18:U18"/>
    <mergeCell ref="R18:S18"/>
    <mergeCell ref="V18:V19"/>
    <mergeCell ref="W18:W19"/>
    <mergeCell ref="P16:Q16"/>
    <mergeCell ref="T16:U16"/>
    <mergeCell ref="R16:S16"/>
    <mergeCell ref="V16:V17"/>
    <mergeCell ref="W12:W13"/>
    <mergeCell ref="P14:Q14"/>
    <mergeCell ref="T14:U14"/>
    <mergeCell ref="R14:S14"/>
    <mergeCell ref="V14:V15"/>
    <mergeCell ref="W14:W15"/>
    <mergeCell ref="P12:Q12"/>
    <mergeCell ref="T12:U12"/>
    <mergeCell ref="R12:S12"/>
    <mergeCell ref="V12:V13"/>
    <mergeCell ref="W16:W17"/>
    <mergeCell ref="F12:G12"/>
    <mergeCell ref="N12:O12"/>
    <mergeCell ref="L12:M12"/>
    <mergeCell ref="H12:I12"/>
    <mergeCell ref="J12:K12"/>
    <mergeCell ref="F14:G14"/>
    <mergeCell ref="N14:O14"/>
    <mergeCell ref="L14:M14"/>
    <mergeCell ref="H14:I14"/>
    <mergeCell ref="J14:K14"/>
    <mergeCell ref="J10:K10"/>
    <mergeCell ref="B2:B4"/>
    <mergeCell ref="D2:W4"/>
    <mergeCell ref="D6:E6"/>
    <mergeCell ref="F6:G6"/>
    <mergeCell ref="N6:O6"/>
    <mergeCell ref="L6:M6"/>
    <mergeCell ref="H6:I6"/>
    <mergeCell ref="J6:K6"/>
    <mergeCell ref="P6:Q6"/>
    <mergeCell ref="T6:U6"/>
    <mergeCell ref="R6:S6"/>
    <mergeCell ref="P10:Q10"/>
    <mergeCell ref="T10:U10"/>
    <mergeCell ref="D25:W25"/>
    <mergeCell ref="W10:W11"/>
    <mergeCell ref="F10:G10"/>
    <mergeCell ref="N10:O10"/>
    <mergeCell ref="V8:V9"/>
    <mergeCell ref="W8:W9"/>
    <mergeCell ref="F8:G8"/>
    <mergeCell ref="N8:O8"/>
    <mergeCell ref="L8:M8"/>
    <mergeCell ref="H8:I8"/>
    <mergeCell ref="J8:K8"/>
    <mergeCell ref="P8:Q8"/>
    <mergeCell ref="R10:S10"/>
    <mergeCell ref="V10:V11"/>
    <mergeCell ref="L10:M10"/>
    <mergeCell ref="H10:I10"/>
  </mergeCells>
  <conditionalFormatting sqref="D8">
    <cfRule type="cellIs" dxfId="212" priority="282" operator="equal">
      <formula>2015</formula>
    </cfRule>
    <cfRule type="cellIs" dxfId="211" priority="283" operator="equal">
      <formula>2014</formula>
    </cfRule>
    <cfRule type="cellIs" dxfId="210" priority="284" operator="equal">
      <formula>2013</formula>
    </cfRule>
    <cfRule type="cellIs" dxfId="209" priority="286" operator="equal">
      <formula>2012</formula>
    </cfRule>
    <cfRule type="cellIs" dxfId="208" priority="287" operator="equal">
      <formula>2011</formula>
    </cfRule>
    <cfRule type="cellIs" dxfId="207" priority="288" operator="equal">
      <formula>2010</formula>
    </cfRule>
    <cfRule type="cellIs" dxfId="206" priority="289" operator="equal">
      <formula>2009</formula>
    </cfRule>
    <cfRule type="cellIs" dxfId="205" priority="294" operator="equal">
      <formula>"2006-2013"</formula>
    </cfRule>
    <cfRule type="cellIs" dxfId="204" priority="295" operator="equal">
      <formula>2007</formula>
    </cfRule>
    <cfRule type="cellIs" dxfId="203" priority="296" operator="equal">
      <formula>2008</formula>
    </cfRule>
    <cfRule type="cellIs" dxfId="202" priority="297" operator="equal">
      <formula>2006</formula>
    </cfRule>
  </conditionalFormatting>
  <conditionalFormatting sqref="F8">
    <cfRule type="colorScale" priority="430">
      <colorScale>
        <cfvo type="min"/>
        <cfvo type="max"/>
        <color rgb="FFFFEF9C"/>
        <color rgb="FFFF7128"/>
      </colorScale>
    </cfRule>
    <cfRule type="containsBlanks" dxfId="201" priority="431">
      <formula>LEN(TRIM(F8))=0</formula>
    </cfRule>
  </conditionalFormatting>
  <conditionalFormatting sqref="N8">
    <cfRule type="colorScale" priority="280">
      <colorScale>
        <cfvo type="min"/>
        <cfvo type="max"/>
        <color rgb="FFFFEF9C"/>
        <color rgb="FFFF7128"/>
      </colorScale>
    </cfRule>
    <cfRule type="containsBlanks" dxfId="200" priority="281">
      <formula>LEN(TRIM(N8))=0</formula>
    </cfRule>
  </conditionalFormatting>
  <conditionalFormatting sqref="L8">
    <cfRule type="colorScale" priority="278">
      <colorScale>
        <cfvo type="min"/>
        <cfvo type="max"/>
        <color rgb="FFFFEF9C"/>
        <color rgb="FFFF7128"/>
      </colorScale>
    </cfRule>
    <cfRule type="containsBlanks" dxfId="199" priority="279">
      <formula>LEN(TRIM(L8))=0</formula>
    </cfRule>
  </conditionalFormatting>
  <conditionalFormatting sqref="H8">
    <cfRule type="colorScale" priority="276">
      <colorScale>
        <cfvo type="min"/>
        <cfvo type="max"/>
        <color rgb="FFFFEF9C"/>
        <color rgb="FFFF7128"/>
      </colorScale>
    </cfRule>
    <cfRule type="containsBlanks" dxfId="198" priority="277">
      <formula>LEN(TRIM(H8))=0</formula>
    </cfRule>
  </conditionalFormatting>
  <conditionalFormatting sqref="J8">
    <cfRule type="colorScale" priority="274">
      <colorScale>
        <cfvo type="min"/>
        <cfvo type="max"/>
        <color rgb="FFFFEF9C"/>
        <color rgb="FFFF7128"/>
      </colorScale>
    </cfRule>
    <cfRule type="containsBlanks" dxfId="197" priority="275">
      <formula>LEN(TRIM(J8))=0</formula>
    </cfRule>
  </conditionalFormatting>
  <conditionalFormatting sqref="P8">
    <cfRule type="colorScale" priority="272">
      <colorScale>
        <cfvo type="min"/>
        <cfvo type="max"/>
        <color rgb="FFFFEF9C"/>
        <color rgb="FFFF7128"/>
      </colorScale>
    </cfRule>
    <cfRule type="containsBlanks" dxfId="196" priority="273">
      <formula>LEN(TRIM(P8))=0</formula>
    </cfRule>
  </conditionalFormatting>
  <conditionalFormatting sqref="T8">
    <cfRule type="colorScale" priority="270">
      <colorScale>
        <cfvo type="min"/>
        <cfvo type="max"/>
        <color rgb="FFFFEF9C"/>
        <color rgb="FFFF7128"/>
      </colorScale>
    </cfRule>
    <cfRule type="containsBlanks" dxfId="195" priority="271">
      <formula>LEN(TRIM(T8))=0</formula>
    </cfRule>
  </conditionalFormatting>
  <conditionalFormatting sqref="R8">
    <cfRule type="colorScale" priority="268">
      <colorScale>
        <cfvo type="min"/>
        <cfvo type="max"/>
        <color rgb="FFFFEF9C"/>
        <color rgb="FFFF7128"/>
      </colorScale>
    </cfRule>
    <cfRule type="containsBlanks" dxfId="194" priority="269">
      <formula>LEN(TRIM(R8))=0</formula>
    </cfRule>
  </conditionalFormatting>
  <conditionalFormatting sqref="F8:G8">
    <cfRule type="colorScale" priority="267">
      <colorScale>
        <cfvo type="min"/>
        <cfvo type="max"/>
        <color rgb="FFFFEF9C"/>
        <color rgb="FFFF7128"/>
      </colorScale>
    </cfRule>
  </conditionalFormatting>
  <conditionalFormatting sqref="F8:U8">
    <cfRule type="colorScale" priority="115">
      <colorScale>
        <cfvo type="min"/>
        <cfvo type="max"/>
        <color rgb="FFFFEF9C"/>
        <color rgb="FFFF7128"/>
      </colorScale>
    </cfRule>
    <cfRule type="colorScale" priority="724">
      <colorScale>
        <cfvo type="min"/>
        <cfvo type="max"/>
        <color rgb="FFFFEF9C"/>
        <color rgb="FFFF7128"/>
      </colorScale>
    </cfRule>
  </conditionalFormatting>
  <conditionalFormatting sqref="F10">
    <cfRule type="colorScale" priority="112">
      <colorScale>
        <cfvo type="min"/>
        <cfvo type="max"/>
        <color rgb="FFFFEF9C"/>
        <color rgb="FFFF7128"/>
      </colorScale>
    </cfRule>
    <cfRule type="containsBlanks" dxfId="193" priority="113">
      <formula>LEN(TRIM(F10))=0</formula>
    </cfRule>
  </conditionalFormatting>
  <conditionalFormatting sqref="N10">
    <cfRule type="colorScale" priority="110">
      <colorScale>
        <cfvo type="min"/>
        <cfvo type="max"/>
        <color rgb="FFFFEF9C"/>
        <color rgb="FFFF7128"/>
      </colorScale>
    </cfRule>
    <cfRule type="containsBlanks" dxfId="192" priority="111">
      <formula>LEN(TRIM(N10))=0</formula>
    </cfRule>
  </conditionalFormatting>
  <conditionalFormatting sqref="L10">
    <cfRule type="colorScale" priority="108">
      <colorScale>
        <cfvo type="min"/>
        <cfvo type="max"/>
        <color rgb="FFFFEF9C"/>
        <color rgb="FFFF7128"/>
      </colorScale>
    </cfRule>
    <cfRule type="containsBlanks" dxfId="191" priority="109">
      <formula>LEN(TRIM(L10))=0</formula>
    </cfRule>
  </conditionalFormatting>
  <conditionalFormatting sqref="H10">
    <cfRule type="colorScale" priority="106">
      <colorScale>
        <cfvo type="min"/>
        <cfvo type="max"/>
        <color rgb="FFFFEF9C"/>
        <color rgb="FFFF7128"/>
      </colorScale>
    </cfRule>
    <cfRule type="containsBlanks" dxfId="190" priority="107">
      <formula>LEN(TRIM(H10))=0</formula>
    </cfRule>
  </conditionalFormatting>
  <conditionalFormatting sqref="J10">
    <cfRule type="colorScale" priority="104">
      <colorScale>
        <cfvo type="min"/>
        <cfvo type="max"/>
        <color rgb="FFFFEF9C"/>
        <color rgb="FFFF7128"/>
      </colorScale>
    </cfRule>
    <cfRule type="containsBlanks" dxfId="189" priority="105">
      <formula>LEN(TRIM(J10))=0</formula>
    </cfRule>
  </conditionalFormatting>
  <conditionalFormatting sqref="P10">
    <cfRule type="colorScale" priority="102">
      <colorScale>
        <cfvo type="min"/>
        <cfvo type="max"/>
        <color rgb="FFFFEF9C"/>
        <color rgb="FFFF7128"/>
      </colorScale>
    </cfRule>
    <cfRule type="containsBlanks" dxfId="188" priority="103">
      <formula>LEN(TRIM(P10))=0</formula>
    </cfRule>
  </conditionalFormatting>
  <conditionalFormatting sqref="T10">
    <cfRule type="colorScale" priority="100">
      <colorScale>
        <cfvo type="min"/>
        <cfvo type="max"/>
        <color rgb="FFFFEF9C"/>
        <color rgb="FFFF7128"/>
      </colorScale>
    </cfRule>
    <cfRule type="containsBlanks" dxfId="187" priority="101">
      <formula>LEN(TRIM(T10))=0</formula>
    </cfRule>
  </conditionalFormatting>
  <conditionalFormatting sqref="R10">
    <cfRule type="colorScale" priority="98">
      <colorScale>
        <cfvo type="min"/>
        <cfvo type="max"/>
        <color rgb="FFFFEF9C"/>
        <color rgb="FFFF7128"/>
      </colorScale>
    </cfRule>
    <cfRule type="containsBlanks" dxfId="186" priority="99">
      <formula>LEN(TRIM(R10))=0</formula>
    </cfRule>
  </conditionalFormatting>
  <conditionalFormatting sqref="F10:G10">
    <cfRule type="colorScale" priority="97">
      <colorScale>
        <cfvo type="min"/>
        <cfvo type="max"/>
        <color rgb="FFFFEF9C"/>
        <color rgb="FFFF7128"/>
      </colorScale>
    </cfRule>
  </conditionalFormatting>
  <conditionalFormatting sqref="F10:U10">
    <cfRule type="colorScale" priority="96">
      <colorScale>
        <cfvo type="min"/>
        <cfvo type="max"/>
        <color rgb="FFFFEF9C"/>
        <color rgb="FFFF7128"/>
      </colorScale>
    </cfRule>
    <cfRule type="colorScale" priority="114">
      <colorScale>
        <cfvo type="min"/>
        <cfvo type="max"/>
        <color rgb="FFFFEF9C"/>
        <color rgb="FFFF7128"/>
      </colorScale>
    </cfRule>
  </conditionalFormatting>
  <conditionalFormatting sqref="F12">
    <cfRule type="colorScale" priority="93">
      <colorScale>
        <cfvo type="min"/>
        <cfvo type="max"/>
        <color rgb="FFFFEF9C"/>
        <color rgb="FFFF7128"/>
      </colorScale>
    </cfRule>
    <cfRule type="containsBlanks" dxfId="185" priority="94">
      <formula>LEN(TRIM(F12))=0</formula>
    </cfRule>
  </conditionalFormatting>
  <conditionalFormatting sqref="N12">
    <cfRule type="colorScale" priority="91">
      <colorScale>
        <cfvo type="min"/>
        <cfvo type="max"/>
        <color rgb="FFFFEF9C"/>
        <color rgb="FFFF7128"/>
      </colorScale>
    </cfRule>
    <cfRule type="containsBlanks" dxfId="184" priority="92">
      <formula>LEN(TRIM(N12))=0</formula>
    </cfRule>
  </conditionalFormatting>
  <conditionalFormatting sqref="L12">
    <cfRule type="colorScale" priority="89">
      <colorScale>
        <cfvo type="min"/>
        <cfvo type="max"/>
        <color rgb="FFFFEF9C"/>
        <color rgb="FFFF7128"/>
      </colorScale>
    </cfRule>
    <cfRule type="containsBlanks" dxfId="183" priority="90">
      <formula>LEN(TRIM(L12))=0</formula>
    </cfRule>
  </conditionalFormatting>
  <conditionalFormatting sqref="H12">
    <cfRule type="colorScale" priority="87">
      <colorScale>
        <cfvo type="min"/>
        <cfvo type="max"/>
        <color rgb="FFFFEF9C"/>
        <color rgb="FFFF7128"/>
      </colorScale>
    </cfRule>
    <cfRule type="containsBlanks" dxfId="182" priority="88">
      <formula>LEN(TRIM(H12))=0</formula>
    </cfRule>
  </conditionalFormatting>
  <conditionalFormatting sqref="J12">
    <cfRule type="colorScale" priority="85">
      <colorScale>
        <cfvo type="min"/>
        <cfvo type="max"/>
        <color rgb="FFFFEF9C"/>
        <color rgb="FFFF7128"/>
      </colorScale>
    </cfRule>
    <cfRule type="containsBlanks" dxfId="181" priority="86">
      <formula>LEN(TRIM(J12))=0</formula>
    </cfRule>
  </conditionalFormatting>
  <conditionalFormatting sqref="P12">
    <cfRule type="colorScale" priority="83">
      <colorScale>
        <cfvo type="min"/>
        <cfvo type="max"/>
        <color rgb="FFFFEF9C"/>
        <color rgb="FFFF7128"/>
      </colorScale>
    </cfRule>
    <cfRule type="containsBlanks" dxfId="180" priority="84">
      <formula>LEN(TRIM(P12))=0</formula>
    </cfRule>
  </conditionalFormatting>
  <conditionalFormatting sqref="T12">
    <cfRule type="colorScale" priority="81">
      <colorScale>
        <cfvo type="min"/>
        <cfvo type="max"/>
        <color rgb="FFFFEF9C"/>
        <color rgb="FFFF7128"/>
      </colorScale>
    </cfRule>
    <cfRule type="containsBlanks" dxfId="179" priority="82">
      <formula>LEN(TRIM(T12))=0</formula>
    </cfRule>
  </conditionalFormatting>
  <conditionalFormatting sqref="R12">
    <cfRule type="colorScale" priority="79">
      <colorScale>
        <cfvo type="min"/>
        <cfvo type="max"/>
        <color rgb="FFFFEF9C"/>
        <color rgb="FFFF7128"/>
      </colorScale>
    </cfRule>
    <cfRule type="containsBlanks" dxfId="178" priority="80">
      <formula>LEN(TRIM(R12))=0</formula>
    </cfRule>
  </conditionalFormatting>
  <conditionalFormatting sqref="F12:G12">
    <cfRule type="colorScale" priority="78">
      <colorScale>
        <cfvo type="min"/>
        <cfvo type="max"/>
        <color rgb="FFFFEF9C"/>
        <color rgb="FFFF7128"/>
      </colorScale>
    </cfRule>
  </conditionalFormatting>
  <conditionalFormatting sqref="F12:U12">
    <cfRule type="colorScale" priority="77">
      <colorScale>
        <cfvo type="min"/>
        <cfvo type="max"/>
        <color rgb="FFFFEF9C"/>
        <color rgb="FFFF7128"/>
      </colorScale>
    </cfRule>
    <cfRule type="colorScale" priority="95">
      <colorScale>
        <cfvo type="min"/>
        <cfvo type="max"/>
        <color rgb="FFFFEF9C"/>
        <color rgb="FFFF7128"/>
      </colorScale>
    </cfRule>
  </conditionalFormatting>
  <conditionalFormatting sqref="F14">
    <cfRule type="colorScale" priority="74">
      <colorScale>
        <cfvo type="min"/>
        <cfvo type="max"/>
        <color rgb="FFFFEF9C"/>
        <color rgb="FFFF7128"/>
      </colorScale>
    </cfRule>
    <cfRule type="containsBlanks" dxfId="177" priority="75">
      <formula>LEN(TRIM(F14))=0</formula>
    </cfRule>
  </conditionalFormatting>
  <conditionalFormatting sqref="N14">
    <cfRule type="colorScale" priority="72">
      <colorScale>
        <cfvo type="min"/>
        <cfvo type="max"/>
        <color rgb="FFFFEF9C"/>
        <color rgb="FFFF7128"/>
      </colorScale>
    </cfRule>
    <cfRule type="containsBlanks" dxfId="176" priority="73">
      <formula>LEN(TRIM(N14))=0</formula>
    </cfRule>
  </conditionalFormatting>
  <conditionalFormatting sqref="L14">
    <cfRule type="colorScale" priority="70">
      <colorScale>
        <cfvo type="min"/>
        <cfvo type="max"/>
        <color rgb="FFFFEF9C"/>
        <color rgb="FFFF7128"/>
      </colorScale>
    </cfRule>
    <cfRule type="containsBlanks" dxfId="175" priority="71">
      <formula>LEN(TRIM(L14))=0</formula>
    </cfRule>
  </conditionalFormatting>
  <conditionalFormatting sqref="H14">
    <cfRule type="colorScale" priority="68">
      <colorScale>
        <cfvo type="min"/>
        <cfvo type="max"/>
        <color rgb="FFFFEF9C"/>
        <color rgb="FFFF7128"/>
      </colorScale>
    </cfRule>
    <cfRule type="containsBlanks" dxfId="174" priority="69">
      <formula>LEN(TRIM(H14))=0</formula>
    </cfRule>
  </conditionalFormatting>
  <conditionalFormatting sqref="J14">
    <cfRule type="colorScale" priority="66">
      <colorScale>
        <cfvo type="min"/>
        <cfvo type="max"/>
        <color rgb="FFFFEF9C"/>
        <color rgb="FFFF7128"/>
      </colorScale>
    </cfRule>
    <cfRule type="containsBlanks" dxfId="173" priority="67">
      <formula>LEN(TRIM(J14))=0</formula>
    </cfRule>
  </conditionalFormatting>
  <conditionalFormatting sqref="P14">
    <cfRule type="colorScale" priority="64">
      <colorScale>
        <cfvo type="min"/>
        <cfvo type="max"/>
        <color rgb="FFFFEF9C"/>
        <color rgb="FFFF7128"/>
      </colorScale>
    </cfRule>
    <cfRule type="containsBlanks" dxfId="172" priority="65">
      <formula>LEN(TRIM(P14))=0</formula>
    </cfRule>
  </conditionalFormatting>
  <conditionalFormatting sqref="T14">
    <cfRule type="colorScale" priority="62">
      <colorScale>
        <cfvo type="min"/>
        <cfvo type="max"/>
        <color rgb="FFFFEF9C"/>
        <color rgb="FFFF7128"/>
      </colorScale>
    </cfRule>
    <cfRule type="containsBlanks" dxfId="171" priority="63">
      <formula>LEN(TRIM(T14))=0</formula>
    </cfRule>
  </conditionalFormatting>
  <conditionalFormatting sqref="R14">
    <cfRule type="colorScale" priority="60">
      <colorScale>
        <cfvo type="min"/>
        <cfvo type="max"/>
        <color rgb="FFFFEF9C"/>
        <color rgb="FFFF7128"/>
      </colorScale>
    </cfRule>
    <cfRule type="containsBlanks" dxfId="170" priority="61">
      <formula>LEN(TRIM(R14))=0</formula>
    </cfRule>
  </conditionalFormatting>
  <conditionalFormatting sqref="F14:G14">
    <cfRule type="colorScale" priority="59">
      <colorScale>
        <cfvo type="min"/>
        <cfvo type="max"/>
        <color rgb="FFFFEF9C"/>
        <color rgb="FFFF7128"/>
      </colorScale>
    </cfRule>
  </conditionalFormatting>
  <conditionalFormatting sqref="F14:U14">
    <cfRule type="colorScale" priority="58">
      <colorScale>
        <cfvo type="min"/>
        <cfvo type="max"/>
        <color rgb="FFFFEF9C"/>
        <color rgb="FFFF7128"/>
      </colorScale>
    </cfRule>
    <cfRule type="colorScale" priority="76">
      <colorScale>
        <cfvo type="min"/>
        <cfvo type="max"/>
        <color rgb="FFFFEF9C"/>
        <color rgb="FFFF7128"/>
      </colorScale>
    </cfRule>
  </conditionalFormatting>
  <conditionalFormatting sqref="F16">
    <cfRule type="colorScale" priority="55">
      <colorScale>
        <cfvo type="min"/>
        <cfvo type="max"/>
        <color rgb="FFFFEF9C"/>
        <color rgb="FFFF7128"/>
      </colorScale>
    </cfRule>
    <cfRule type="containsBlanks" dxfId="169" priority="56">
      <formula>LEN(TRIM(F16))=0</formula>
    </cfRule>
  </conditionalFormatting>
  <conditionalFormatting sqref="N16">
    <cfRule type="colorScale" priority="53">
      <colorScale>
        <cfvo type="min"/>
        <cfvo type="max"/>
        <color rgb="FFFFEF9C"/>
        <color rgb="FFFF7128"/>
      </colorScale>
    </cfRule>
    <cfRule type="containsBlanks" dxfId="168" priority="54">
      <formula>LEN(TRIM(N16))=0</formula>
    </cfRule>
  </conditionalFormatting>
  <conditionalFormatting sqref="L16">
    <cfRule type="colorScale" priority="51">
      <colorScale>
        <cfvo type="min"/>
        <cfvo type="max"/>
        <color rgb="FFFFEF9C"/>
        <color rgb="FFFF7128"/>
      </colorScale>
    </cfRule>
    <cfRule type="containsBlanks" dxfId="167" priority="52">
      <formula>LEN(TRIM(L16))=0</formula>
    </cfRule>
  </conditionalFormatting>
  <conditionalFormatting sqref="H16">
    <cfRule type="colorScale" priority="49">
      <colorScale>
        <cfvo type="min"/>
        <cfvo type="max"/>
        <color rgb="FFFFEF9C"/>
        <color rgb="FFFF7128"/>
      </colorScale>
    </cfRule>
    <cfRule type="containsBlanks" dxfId="166" priority="50">
      <formula>LEN(TRIM(H16))=0</formula>
    </cfRule>
  </conditionalFormatting>
  <conditionalFormatting sqref="J16">
    <cfRule type="colorScale" priority="47">
      <colorScale>
        <cfvo type="min"/>
        <cfvo type="max"/>
        <color rgb="FFFFEF9C"/>
        <color rgb="FFFF7128"/>
      </colorScale>
    </cfRule>
    <cfRule type="containsBlanks" dxfId="165" priority="48">
      <formula>LEN(TRIM(J16))=0</formula>
    </cfRule>
  </conditionalFormatting>
  <conditionalFormatting sqref="P16">
    <cfRule type="colorScale" priority="45">
      <colorScale>
        <cfvo type="min"/>
        <cfvo type="max"/>
        <color rgb="FFFFEF9C"/>
        <color rgb="FFFF7128"/>
      </colorScale>
    </cfRule>
    <cfRule type="containsBlanks" dxfId="164" priority="46">
      <formula>LEN(TRIM(P16))=0</formula>
    </cfRule>
  </conditionalFormatting>
  <conditionalFormatting sqref="T16">
    <cfRule type="colorScale" priority="43">
      <colorScale>
        <cfvo type="min"/>
        <cfvo type="max"/>
        <color rgb="FFFFEF9C"/>
        <color rgb="FFFF7128"/>
      </colorScale>
    </cfRule>
    <cfRule type="containsBlanks" dxfId="163" priority="44">
      <formula>LEN(TRIM(T16))=0</formula>
    </cfRule>
  </conditionalFormatting>
  <conditionalFormatting sqref="R16">
    <cfRule type="colorScale" priority="41">
      <colorScale>
        <cfvo type="min"/>
        <cfvo type="max"/>
        <color rgb="FFFFEF9C"/>
        <color rgb="FFFF7128"/>
      </colorScale>
    </cfRule>
    <cfRule type="containsBlanks" dxfId="162" priority="42">
      <formula>LEN(TRIM(R16))=0</formula>
    </cfRule>
  </conditionalFormatting>
  <conditionalFormatting sqref="F16:G16">
    <cfRule type="colorScale" priority="40">
      <colorScale>
        <cfvo type="min"/>
        <cfvo type="max"/>
        <color rgb="FFFFEF9C"/>
        <color rgb="FFFF7128"/>
      </colorScale>
    </cfRule>
  </conditionalFormatting>
  <conditionalFormatting sqref="F16:U16">
    <cfRule type="colorScale" priority="39">
      <colorScale>
        <cfvo type="min"/>
        <cfvo type="max"/>
        <color rgb="FFFFEF9C"/>
        <color rgb="FFFF7128"/>
      </colorScale>
    </cfRule>
    <cfRule type="colorScale" priority="57">
      <colorScale>
        <cfvo type="min"/>
        <cfvo type="max"/>
        <color rgb="FFFFEF9C"/>
        <color rgb="FFFF7128"/>
      </colorScale>
    </cfRule>
  </conditionalFormatting>
  <conditionalFormatting sqref="F18">
    <cfRule type="colorScale" priority="36">
      <colorScale>
        <cfvo type="min"/>
        <cfvo type="max"/>
        <color rgb="FFFFEF9C"/>
        <color rgb="FFFF7128"/>
      </colorScale>
    </cfRule>
    <cfRule type="containsBlanks" dxfId="161" priority="37">
      <formula>LEN(TRIM(F18))=0</formula>
    </cfRule>
  </conditionalFormatting>
  <conditionalFormatting sqref="N18">
    <cfRule type="colorScale" priority="34">
      <colorScale>
        <cfvo type="min"/>
        <cfvo type="max"/>
        <color rgb="FFFFEF9C"/>
        <color rgb="FFFF7128"/>
      </colorScale>
    </cfRule>
    <cfRule type="containsBlanks" dxfId="160" priority="35">
      <formula>LEN(TRIM(N18))=0</formula>
    </cfRule>
  </conditionalFormatting>
  <conditionalFormatting sqref="L18">
    <cfRule type="colorScale" priority="32">
      <colorScale>
        <cfvo type="min"/>
        <cfvo type="max"/>
        <color rgb="FFFFEF9C"/>
        <color rgb="FFFF7128"/>
      </colorScale>
    </cfRule>
    <cfRule type="containsBlanks" dxfId="159" priority="33">
      <formula>LEN(TRIM(L18))=0</formula>
    </cfRule>
  </conditionalFormatting>
  <conditionalFormatting sqref="H18">
    <cfRule type="colorScale" priority="30">
      <colorScale>
        <cfvo type="min"/>
        <cfvo type="max"/>
        <color rgb="FFFFEF9C"/>
        <color rgb="FFFF7128"/>
      </colorScale>
    </cfRule>
    <cfRule type="containsBlanks" dxfId="158" priority="31">
      <formula>LEN(TRIM(H18))=0</formula>
    </cfRule>
  </conditionalFormatting>
  <conditionalFormatting sqref="J18">
    <cfRule type="colorScale" priority="28">
      <colorScale>
        <cfvo type="min"/>
        <cfvo type="max"/>
        <color rgb="FFFFEF9C"/>
        <color rgb="FFFF7128"/>
      </colorScale>
    </cfRule>
    <cfRule type="containsBlanks" dxfId="157" priority="29">
      <formula>LEN(TRIM(J18))=0</formula>
    </cfRule>
  </conditionalFormatting>
  <conditionalFormatting sqref="P18">
    <cfRule type="colorScale" priority="26">
      <colorScale>
        <cfvo type="min"/>
        <cfvo type="max"/>
        <color rgb="FFFFEF9C"/>
        <color rgb="FFFF7128"/>
      </colorScale>
    </cfRule>
    <cfRule type="containsBlanks" dxfId="156" priority="27">
      <formula>LEN(TRIM(P18))=0</formula>
    </cfRule>
  </conditionalFormatting>
  <conditionalFormatting sqref="T18">
    <cfRule type="colorScale" priority="24">
      <colorScale>
        <cfvo type="min"/>
        <cfvo type="max"/>
        <color rgb="FFFFEF9C"/>
        <color rgb="FFFF7128"/>
      </colorScale>
    </cfRule>
    <cfRule type="containsBlanks" dxfId="155" priority="25">
      <formula>LEN(TRIM(T18))=0</formula>
    </cfRule>
  </conditionalFormatting>
  <conditionalFormatting sqref="R18">
    <cfRule type="colorScale" priority="22">
      <colorScale>
        <cfvo type="min"/>
        <cfvo type="max"/>
        <color rgb="FFFFEF9C"/>
        <color rgb="FFFF7128"/>
      </colorScale>
    </cfRule>
    <cfRule type="containsBlanks" dxfId="154" priority="23">
      <formula>LEN(TRIM(R18))=0</formula>
    </cfRule>
  </conditionalFormatting>
  <conditionalFormatting sqref="F18:G18">
    <cfRule type="colorScale" priority="21">
      <colorScale>
        <cfvo type="min"/>
        <cfvo type="max"/>
        <color rgb="FFFFEF9C"/>
        <color rgb="FFFF7128"/>
      </colorScale>
    </cfRule>
  </conditionalFormatting>
  <conditionalFormatting sqref="F18:U18">
    <cfRule type="colorScale" priority="20">
      <colorScale>
        <cfvo type="min"/>
        <cfvo type="max"/>
        <color rgb="FFFFEF9C"/>
        <color rgb="FFFF7128"/>
      </colorScale>
    </cfRule>
    <cfRule type="colorScale" priority="38">
      <colorScale>
        <cfvo type="min"/>
        <cfvo type="max"/>
        <color rgb="FFFFEF9C"/>
        <color rgb="FFFF7128"/>
      </colorScale>
    </cfRule>
  </conditionalFormatting>
  <conditionalFormatting sqref="F20">
    <cfRule type="colorScale" priority="17">
      <colorScale>
        <cfvo type="min"/>
        <cfvo type="max"/>
        <color rgb="FFFFEF9C"/>
        <color rgb="FFFF7128"/>
      </colorScale>
    </cfRule>
    <cfRule type="containsBlanks" dxfId="153" priority="18">
      <formula>LEN(TRIM(F20))=0</formula>
    </cfRule>
  </conditionalFormatting>
  <conditionalFormatting sqref="N20">
    <cfRule type="colorScale" priority="15">
      <colorScale>
        <cfvo type="min"/>
        <cfvo type="max"/>
        <color rgb="FFFFEF9C"/>
        <color rgb="FFFF7128"/>
      </colorScale>
    </cfRule>
    <cfRule type="containsBlanks" dxfId="152" priority="16">
      <formula>LEN(TRIM(N20))=0</formula>
    </cfRule>
  </conditionalFormatting>
  <conditionalFormatting sqref="L20">
    <cfRule type="colorScale" priority="13">
      <colorScale>
        <cfvo type="min"/>
        <cfvo type="max"/>
        <color rgb="FFFFEF9C"/>
        <color rgb="FFFF7128"/>
      </colorScale>
    </cfRule>
    <cfRule type="containsBlanks" dxfId="151" priority="14">
      <formula>LEN(TRIM(L20))=0</formula>
    </cfRule>
  </conditionalFormatting>
  <conditionalFormatting sqref="H20">
    <cfRule type="colorScale" priority="11">
      <colorScale>
        <cfvo type="min"/>
        <cfvo type="max"/>
        <color rgb="FFFFEF9C"/>
        <color rgb="FFFF7128"/>
      </colorScale>
    </cfRule>
    <cfRule type="containsBlanks" dxfId="150" priority="12">
      <formula>LEN(TRIM(H20))=0</formula>
    </cfRule>
  </conditionalFormatting>
  <conditionalFormatting sqref="J20">
    <cfRule type="colorScale" priority="9">
      <colorScale>
        <cfvo type="min"/>
        <cfvo type="max"/>
        <color rgb="FFFFEF9C"/>
        <color rgb="FFFF7128"/>
      </colorScale>
    </cfRule>
    <cfRule type="containsBlanks" dxfId="149" priority="10">
      <formula>LEN(TRIM(J20))=0</formula>
    </cfRule>
  </conditionalFormatting>
  <conditionalFormatting sqref="P20">
    <cfRule type="colorScale" priority="7">
      <colorScale>
        <cfvo type="min"/>
        <cfvo type="max"/>
        <color rgb="FFFFEF9C"/>
        <color rgb="FFFF7128"/>
      </colorScale>
    </cfRule>
    <cfRule type="containsBlanks" dxfId="148" priority="8">
      <formula>LEN(TRIM(P20))=0</formula>
    </cfRule>
  </conditionalFormatting>
  <conditionalFormatting sqref="T20">
    <cfRule type="colorScale" priority="5">
      <colorScale>
        <cfvo type="min"/>
        <cfvo type="max"/>
        <color rgb="FFFFEF9C"/>
        <color rgb="FFFF7128"/>
      </colorScale>
    </cfRule>
    <cfRule type="containsBlanks" dxfId="147" priority="6">
      <formula>LEN(TRIM(T20))=0</formula>
    </cfRule>
  </conditionalFormatting>
  <conditionalFormatting sqref="R20">
    <cfRule type="colorScale" priority="3">
      <colorScale>
        <cfvo type="min"/>
        <cfvo type="max"/>
        <color rgb="FFFFEF9C"/>
        <color rgb="FFFF7128"/>
      </colorScale>
    </cfRule>
    <cfRule type="containsBlanks" dxfId="146" priority="4">
      <formula>LEN(TRIM(R20))=0</formula>
    </cfRule>
  </conditionalFormatting>
  <conditionalFormatting sqref="F20:G20">
    <cfRule type="colorScale" priority="2">
      <colorScale>
        <cfvo type="min"/>
        <cfvo type="max"/>
        <color rgb="FFFFEF9C"/>
        <color rgb="FFFF7128"/>
      </colorScale>
    </cfRule>
  </conditionalFormatting>
  <conditionalFormatting sqref="F20:U20">
    <cfRule type="colorScale" priority="1">
      <colorScale>
        <cfvo type="min"/>
        <cfvo type="max"/>
        <color rgb="FFFFEF9C"/>
        <color rgb="FFFF7128"/>
      </colorScale>
    </cfRule>
    <cfRule type="colorScale" priority="19">
      <colorScale>
        <cfvo type="min"/>
        <cfvo type="max"/>
        <color rgb="FFFFEF9C"/>
        <color rgb="FFFF7128"/>
      </colorScale>
    </cfRule>
  </conditionalFormatting>
  <hyperlinks>
    <hyperlink ref="B8" location="Contents!A1" display="Contents"/>
  </hyperlinks>
  <pageMargins left="0.7" right="0.7" top="0.75" bottom="0.75" header="0.3" footer="0.3"/>
  <pageSetup paperSize="9" orientation="portrait" r:id="rId1"/>
  <ignoredErrors>
    <ignoredError sqref="F9:G21 P9:Q21 H9:O21 R9:U2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List Box 2">
              <controlPr defaultSize="0" autoLine="0" autoPict="0">
                <anchor moveWithCells="1">
                  <from>
                    <xdr:col>1</xdr:col>
                    <xdr:colOff>0</xdr:colOff>
                    <xdr:row>5</xdr:row>
                    <xdr:rowOff>0</xdr:rowOff>
                  </from>
                  <to>
                    <xdr:col>2</xdr:col>
                    <xdr:colOff>0</xdr:colOff>
                    <xdr:row>5</xdr:row>
                    <xdr:rowOff>828675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9E49"/>
  </sheetPr>
  <dimension ref="A1:AY111"/>
  <sheetViews>
    <sheetView workbookViewId="0">
      <selection activeCell="B2" sqref="B2:B4"/>
    </sheetView>
  </sheetViews>
  <sheetFormatPr defaultRowHeight="15" x14ac:dyDescent="0.25"/>
  <cols>
    <col min="1" max="1" width="1.42578125" style="3" customWidth="1"/>
    <col min="2" max="2" width="20.140625" style="3" customWidth="1"/>
    <col min="3" max="3" width="1.42578125" style="3" customWidth="1"/>
    <col min="4" max="4" width="5.7109375" style="3" customWidth="1"/>
    <col min="5" max="5" width="16.85546875" style="3" customWidth="1"/>
    <col min="6" max="6" width="4.5703125" style="3" customWidth="1"/>
    <col min="7" max="7" width="5.42578125" style="3" customWidth="1"/>
    <col min="8" max="21" width="4.5703125" style="3" customWidth="1"/>
    <col min="22" max="22" width="0" style="3" hidden="1" customWidth="1"/>
    <col min="23" max="24" width="9.140625" style="3"/>
    <col min="25" max="36" width="0.140625" style="3" customWidth="1"/>
    <col min="37" max="16384" width="9.140625" style="3"/>
  </cols>
  <sheetData>
    <row r="1" spans="1:51" ht="15.75" thickBot="1" x14ac:dyDescent="0.3">
      <c r="D1" s="4"/>
      <c r="V1" s="5"/>
      <c r="W1" s="5"/>
    </row>
    <row r="2" spans="1:51" ht="15" customHeight="1" thickBot="1" x14ac:dyDescent="0.3">
      <c r="B2" s="88" t="s">
        <v>94</v>
      </c>
      <c r="D2" s="116" t="str">
        <f>IF(F12="", D6&amp;" is not covered by a screening programme, please select a different site or Route", "Percentage of diagnoses by selected Route and treatment modality - by age, 2013-2015, England")</f>
        <v>Percentage of diagnoses by selected Route and treatment modality - by age, 2013-2015, England</v>
      </c>
      <c r="E2" s="117"/>
      <c r="F2" s="117"/>
      <c r="G2" s="117"/>
      <c r="H2" s="117"/>
      <c r="I2" s="117"/>
      <c r="J2" s="117"/>
      <c r="K2" s="117"/>
      <c r="L2" s="117"/>
      <c r="M2" s="117"/>
      <c r="N2" s="117"/>
      <c r="O2" s="117"/>
      <c r="P2" s="117"/>
      <c r="Q2" s="117"/>
      <c r="R2" s="117"/>
      <c r="S2" s="117"/>
      <c r="T2" s="117"/>
      <c r="U2" s="117"/>
      <c r="V2" s="117"/>
      <c r="W2" s="118"/>
      <c r="AL2" s="111" t="s">
        <v>124</v>
      </c>
      <c r="AM2" s="112"/>
      <c r="AN2" s="112"/>
      <c r="AO2" s="112"/>
      <c r="AP2" s="112"/>
      <c r="AQ2" s="112"/>
      <c r="AR2" s="112"/>
      <c r="AS2" s="112"/>
      <c r="AT2" s="112"/>
      <c r="AU2" s="112"/>
      <c r="AV2" s="112"/>
      <c r="AW2" s="112"/>
      <c r="AX2" s="112"/>
      <c r="AY2" s="113"/>
    </row>
    <row r="3" spans="1:51" ht="15" customHeight="1" x14ac:dyDescent="0.25">
      <c r="B3" s="89"/>
      <c r="D3" s="119"/>
      <c r="E3" s="120"/>
      <c r="F3" s="120"/>
      <c r="G3" s="120"/>
      <c r="H3" s="120"/>
      <c r="I3" s="120"/>
      <c r="J3" s="120"/>
      <c r="K3" s="120"/>
      <c r="L3" s="120"/>
      <c r="M3" s="120"/>
      <c r="N3" s="120"/>
      <c r="O3" s="120"/>
      <c r="P3" s="120"/>
      <c r="Q3" s="120"/>
      <c r="R3" s="120"/>
      <c r="S3" s="120"/>
      <c r="T3" s="120"/>
      <c r="U3" s="120"/>
      <c r="V3" s="120"/>
      <c r="W3" s="121"/>
    </row>
    <row r="4" spans="1:51" ht="15.75" customHeight="1" thickBot="1" x14ac:dyDescent="0.3">
      <c r="B4" s="90"/>
      <c r="D4" s="122"/>
      <c r="E4" s="123"/>
      <c r="F4" s="123"/>
      <c r="G4" s="123"/>
      <c r="H4" s="123"/>
      <c r="I4" s="123"/>
      <c r="J4" s="123"/>
      <c r="K4" s="123"/>
      <c r="L4" s="123"/>
      <c r="M4" s="123"/>
      <c r="N4" s="123"/>
      <c r="O4" s="123"/>
      <c r="P4" s="123"/>
      <c r="Q4" s="123"/>
      <c r="R4" s="123"/>
      <c r="S4" s="123"/>
      <c r="T4" s="123"/>
      <c r="U4" s="123"/>
      <c r="V4" s="123"/>
      <c r="W4" s="124"/>
    </row>
    <row r="5" spans="1:51" ht="15.75" thickBot="1" x14ac:dyDescent="0.3">
      <c r="D5" s="4"/>
      <c r="V5" s="5"/>
      <c r="W5" s="5"/>
      <c r="Y5" s="62"/>
      <c r="Z5" s="62"/>
      <c r="AA5" s="62"/>
      <c r="AB5" s="62"/>
      <c r="AC5" s="62"/>
      <c r="AD5" s="62"/>
      <c r="AE5" s="62"/>
      <c r="AF5" s="62"/>
      <c r="AG5" s="62"/>
      <c r="AH5" s="62"/>
      <c r="AI5" s="62"/>
      <c r="AJ5" s="62"/>
      <c r="AK5" s="62"/>
    </row>
    <row r="6" spans="1:51" ht="87.75" customHeight="1" thickBot="1" x14ac:dyDescent="0.3">
      <c r="A6" s="6"/>
      <c r="B6" s="6"/>
      <c r="C6" s="6"/>
      <c r="D6" s="100" t="str">
        <f>Lookups!A10</f>
        <v>Breast</v>
      </c>
      <c r="E6" s="101"/>
      <c r="F6" s="102" t="s">
        <v>22</v>
      </c>
      <c r="G6" s="103"/>
      <c r="H6" s="103" t="s">
        <v>25</v>
      </c>
      <c r="I6" s="103"/>
      <c r="J6" s="103" t="s">
        <v>26</v>
      </c>
      <c r="K6" s="103"/>
      <c r="L6" s="103" t="s">
        <v>24</v>
      </c>
      <c r="M6" s="103"/>
      <c r="N6" s="103" t="s">
        <v>23</v>
      </c>
      <c r="O6" s="103"/>
      <c r="P6" s="103" t="s">
        <v>27</v>
      </c>
      <c r="Q6" s="103"/>
      <c r="R6" s="103" t="s">
        <v>118</v>
      </c>
      <c r="S6" s="103"/>
      <c r="T6" s="103" t="s">
        <v>28</v>
      </c>
      <c r="U6" s="103"/>
      <c r="V6" s="13" t="s">
        <v>5</v>
      </c>
      <c r="W6" s="16" t="s">
        <v>110</v>
      </c>
      <c r="Y6" s="25" t="s">
        <v>41</v>
      </c>
      <c r="Z6" s="25" t="s">
        <v>45</v>
      </c>
      <c r="AA6" s="25" t="s">
        <v>120</v>
      </c>
      <c r="AB6" s="25" t="s">
        <v>37</v>
      </c>
      <c r="AC6" s="19" t="s">
        <v>22</v>
      </c>
      <c r="AD6" s="19" t="s">
        <v>23</v>
      </c>
      <c r="AE6" s="19" t="s">
        <v>24</v>
      </c>
      <c r="AF6" s="19" t="s">
        <v>25</v>
      </c>
      <c r="AG6" s="19" t="s">
        <v>26</v>
      </c>
      <c r="AH6" s="19" t="s">
        <v>27</v>
      </c>
      <c r="AI6" s="19" t="s">
        <v>28</v>
      </c>
      <c r="AJ6" s="19" t="s">
        <v>117</v>
      </c>
      <c r="AK6" s="62"/>
    </row>
    <row r="7" spans="1:51" ht="15.75" customHeight="1" thickBot="1" x14ac:dyDescent="0.3">
      <c r="B7" s="114" t="s">
        <v>119</v>
      </c>
      <c r="D7" s="4"/>
      <c r="V7" s="5"/>
      <c r="W7" s="5"/>
      <c r="Y7" s="25" t="str">
        <f>Lookups!A10</f>
        <v>Breast</v>
      </c>
      <c r="Z7" s="25" t="s">
        <v>7</v>
      </c>
      <c r="AA7" s="125" t="s">
        <v>7</v>
      </c>
      <c r="AB7" s="25" t="s">
        <v>0</v>
      </c>
      <c r="AC7" s="20">
        <f>IF(OR(ISERROR(VLOOKUP($Y$7&amp;$AB7&amp;$Z7,'Age data'!$A$3:$AE$254,5,FALSE)),ISBLANK(VLOOKUP($Y$7&amp;$AB7&amp;$Z7,'Age data'!$A$3:$AE$254,5,FALSE))),"",VLOOKUP($Y$7&amp;$AB7&amp;$Z7,'Age data'!$A$3:$AE$254,5,FALSE))</f>
        <v>0.13500000000000001</v>
      </c>
      <c r="AD7" s="20">
        <f>IF(OR(ISERROR(VLOOKUP($Y$7&amp;$AB7&amp;$Z7,'Age data'!$A$3:$AE$254,6,FALSE)),ISBLANK(VLOOKUP($Y$7&amp;$AB7&amp;$Z7,'Age data'!$A$3:$AE$254,6,FALSE))),"",VLOOKUP($Y$7&amp;$AB7&amp;$Z7,'Age data'!$A$3:$AE$254,6,FALSE))</f>
        <v>5.909090909090909E-3</v>
      </c>
      <c r="AE7" s="20">
        <f>IF(OR(ISERROR(VLOOKUP($Y$7&amp;$AB7&amp;$Z7,'Age data'!$A$3:$AE$254,7,FALSE)),ISBLANK(VLOOKUP($Y$7&amp;$AB7&amp;$Z7,'Age data'!$A$3:$AE$254,7,FALSE))),"",VLOOKUP($Y$7&amp;$AB7&amp;$Z7,'Age data'!$A$3:$AE$254,7,FALSE))</f>
        <v>9.5454545454545462E-3</v>
      </c>
      <c r="AF7" s="20">
        <f>IF(OR(ISERROR(VLOOKUP($Y$7&amp;$AB7&amp;$Z7,'Age data'!$A$3:$AE$254,8,FALSE)),ISBLANK(VLOOKUP($Y$7&amp;$AB7&amp;$Z7,'Age data'!$A$3:$AE$254,8,FALSE))),"",VLOOKUP($Y$7&amp;$AB7&amp;$Z7,'Age data'!$A$3:$AE$254,8,FALSE))</f>
        <v>7.6818181818181813E-2</v>
      </c>
      <c r="AG7" s="20">
        <f>IF(OR(ISERROR(VLOOKUP($Y$7&amp;$AB7&amp;$Z7,'Age data'!$A$3:$AE$254,9,FALSE)),ISBLANK(VLOOKUP($Y$7&amp;$AB7&amp;$Z7,'Age data'!$A$3:$AE$254,9,FALSE))),"",VLOOKUP($Y$7&amp;$AB7&amp;$Z7,'Age data'!$A$3:$AE$254,9,FALSE))</f>
        <v>0.45954545454545453</v>
      </c>
      <c r="AH7" s="20">
        <f>IF(OR(ISERROR(VLOOKUP($Y$7&amp;$AB7&amp;$Z7,'Age data'!$A$3:$AE$254,10,FALSE)),ISBLANK(VLOOKUP($Y$7&amp;$AB7&amp;$Z7,'Age data'!$A$3:$AE$254,10,FALSE))),"",VLOOKUP($Y$7&amp;$AB7&amp;$Z7,'Age data'!$A$3:$AE$254,10,FALSE))</f>
        <v>4.0909090909090912E-3</v>
      </c>
      <c r="AI7" s="20">
        <f>IF(OR(ISERROR(VLOOKUP($Y$7&amp;$AB7&amp;$Z7,'Age data'!$A$3:$AE$254,11,FALSE)),ISBLANK(VLOOKUP($Y$7&amp;$AB7&amp;$Z7,'Age data'!$A$3:$AE$254,11,FALSE))),"",VLOOKUP($Y$7&amp;$AB7&amp;$Z7,'Age data'!$A$3:$AE$254,11,FALSE))</f>
        <v>1.9090909090909092E-2</v>
      </c>
      <c r="AJ7" s="20">
        <f>IF(OR(ISERROR(VLOOKUP($Y$7&amp;$AB7&amp;$Z7,'Age data'!$A$3:$AE$254,12,FALSE)),ISBLANK(VLOOKUP($Y$7&amp;$AB7&amp;$Z7,'Age data'!$A$3:$AE$254,12,FALSE))),"",VLOOKUP($Y$7&amp;$AB7&amp;$Z7,'Age data'!$A$3:$AE$254,12,FALSE))</f>
        <v>0.28999999999999998</v>
      </c>
      <c r="AK7" s="62"/>
    </row>
    <row r="8" spans="1:51" ht="15.75" customHeight="1" thickBot="1" x14ac:dyDescent="0.3">
      <c r="A8" s="7"/>
      <c r="B8" s="115"/>
      <c r="C8" s="7"/>
      <c r="D8" s="126" t="str">
        <f>Lookups!C11</f>
        <v>Screen detected</v>
      </c>
      <c r="E8" s="8" t="s">
        <v>7</v>
      </c>
      <c r="F8" s="85">
        <f>IF(OR(ISERROR(VLOOKUP($D$6&amp;$D$8&amp;$E8,'Age data'!$A$3:$AE$254,5,FALSE)),ISBLANK(VLOOKUP($D$6&amp;$D$8&amp;$E8,'Age data'!$A$3:$AE$254,5,FALSE))),"",VLOOKUP($D$6&amp;$D$8&amp;$E8,'Age data'!$A$3:$AE$254,5,FALSE))</f>
        <v>0.13500000000000001</v>
      </c>
      <c r="G8" s="85"/>
      <c r="H8" s="85">
        <f>IF(OR(ISERROR(VLOOKUP($D$6&amp;$D$8&amp;$E8,'Age data'!$A$3:$AE$254,8,FALSE)),ISBLANK(VLOOKUP($D$6&amp;$D$8&amp;$E8,'Age data'!$A$3:$AE$254,8,FALSE))),"",VLOOKUP($D$6&amp;$D$8&amp;$E8,'Age data'!$A$3:$AE$254,8,FALSE))</f>
        <v>7.6818181818181813E-2</v>
      </c>
      <c r="I8" s="85"/>
      <c r="J8" s="85">
        <f>IF(OR(ISERROR(VLOOKUP($D$6&amp;$D$8&amp;$E8,'Age data'!$A$3:$AE$254,9,FALSE)),ISBLANK(VLOOKUP($D$6&amp;$D$8&amp;$E8,'Age data'!$A$3:$AE$254,9,FALSE))),"",VLOOKUP($D$6&amp;$D$8&amp;$E8,'Age data'!$A$3:$AE$254,9,FALSE))</f>
        <v>0.45954545454545453</v>
      </c>
      <c r="K8" s="85"/>
      <c r="L8" s="85">
        <f>IF(OR(ISERROR(VLOOKUP($D$6&amp;$D$8&amp;$E8,'Age data'!$A$3:$AE$254,7,FALSE)),ISBLANK(VLOOKUP($D$6&amp;$D$8&amp;$E8,'Age data'!$A$3:$AE$254,7,FALSE))),"",VLOOKUP($D$6&amp;$D$8&amp;$E8,'Age data'!$A$3:$AE$254,7,FALSE))</f>
        <v>9.5454545454545462E-3</v>
      </c>
      <c r="M8" s="85"/>
      <c r="N8" s="85">
        <f>IF(OR(ISERROR(VLOOKUP($D$6&amp;$D$8&amp;$E8,'Age data'!$A$3:$AE$254,6,FALSE)),ISBLANK(VLOOKUP($D$6&amp;$D$8&amp;$E8,'Age data'!$A$3:$AE$254,6,FALSE))),"",VLOOKUP($D$6&amp;$D$8&amp;$E8,'Age data'!$A$3:$AE$254,6,FALSE))</f>
        <v>5.909090909090909E-3</v>
      </c>
      <c r="O8" s="85"/>
      <c r="P8" s="85">
        <f>IF(OR(ISERROR(VLOOKUP($D$6&amp;$D$8&amp;$E8,'Age data'!$A$3:$AE$254,10,FALSE)),ISBLANK(VLOOKUP($D$6&amp;$D$8&amp;$E8,'Age data'!$A$3:$AE$254,10,FALSE))),"",VLOOKUP($D$6&amp;$D$8&amp;$E8,'Age data'!$A$3:$AE$254,10,FALSE))</f>
        <v>4.0909090909090912E-3</v>
      </c>
      <c r="Q8" s="85"/>
      <c r="R8" s="85">
        <f>IF(OR(ISERROR(VLOOKUP($D$6&amp;$D$8&amp;$E8,'Age data'!$A$3:$AE$254,12,FALSE)),ISBLANK(VLOOKUP($D$6&amp;$D$8&amp;$E8,'Age data'!$A$3:$AE$254,12,FALSE))),"",VLOOKUP($D$6&amp;$D$8&amp;$E8,'Age data'!$A$3:$AE$254,12,FALSE))</f>
        <v>0.28999999999999998</v>
      </c>
      <c r="S8" s="85"/>
      <c r="T8" s="85">
        <f>IF(OR(ISERROR(VLOOKUP($D$6&amp;$D$8&amp;$E8,'Age data'!$A$3:$AE$254,11,FALSE)),ISBLANK(VLOOKUP($D$6&amp;$D$8&amp;$E8,'Age data'!$A$3:$AE$254,11,FALSE))),"",VLOOKUP($D$6&amp;$D$8&amp;$E8,'Age data'!$A$3:$AE$254,11,FALSE))</f>
        <v>1.9090909090909092E-2</v>
      </c>
      <c r="U8" s="85"/>
      <c r="V8" s="86">
        <f>SUM(F8,N8,L8,H8,J8,P8,T8,R8)</f>
        <v>1</v>
      </c>
      <c r="W8" s="83">
        <f>IF(OR(ISERROR(VLOOKUP($D$6&amp;$D$8&amp;$E8,'Age data'!$A$3:$AE$254,14,FALSE)),ISBLANK(VLOOKUP($D$6&amp;$D$8&amp;$E8,'Age data'!$A$3:$AE$254,14,FALSE))),"",VLOOKUP($D$6&amp;$D$8&amp;$E8,'Age data'!$A$3:$AE$254,14,FALSE))</f>
        <v>2200</v>
      </c>
      <c r="Y8" s="25"/>
      <c r="Z8" s="25" t="s">
        <v>7</v>
      </c>
      <c r="AA8" s="125"/>
      <c r="AB8" s="25" t="s">
        <v>1</v>
      </c>
      <c r="AC8" s="20">
        <f>IF(OR(ISERROR(VLOOKUP($Y$7&amp;$AB8&amp;$Z8,'Age data'!$A$3:$AE$254,5,FALSE)),ISBLANK(VLOOKUP($Y$7&amp;$AB8&amp;$Z8,'Age data'!$A$3:$AE$254,5,FALSE))),"",VLOOKUP($Y$7&amp;$AB8&amp;$Z8,'Age data'!$A$3:$AE$254,5,FALSE))</f>
        <v>7.5244208763605921E-2</v>
      </c>
      <c r="AD8" s="20">
        <f>IF(OR(ISERROR(VLOOKUP($Y$7&amp;$AB8&amp;$Z8,'Age data'!$A$3:$AE$254,6,FALSE)),ISBLANK(VLOOKUP($Y$7&amp;$AB8&amp;$Z8,'Age data'!$A$3:$AE$254,6,FALSE))),"",VLOOKUP($Y$7&amp;$AB8&amp;$Z8,'Age data'!$A$3:$AE$254,6,FALSE))</f>
        <v>1.5126988557075076E-2</v>
      </c>
      <c r="AE8" s="20">
        <f>IF(OR(ISERROR(VLOOKUP($Y$7&amp;$AB8&amp;$Z8,'Age data'!$A$3:$AE$254,7,FALSE)),ISBLANK(VLOOKUP($Y$7&amp;$AB8&amp;$Z8,'Age data'!$A$3:$AE$254,7,FALSE))),"",VLOOKUP($Y$7&amp;$AB8&amp;$Z8,'Age data'!$A$3:$AE$254,7,FALSE))</f>
        <v>3.1816913201228019E-3</v>
      </c>
      <c r="AF8" s="20">
        <f>IF(OR(ISERROR(VLOOKUP($Y$7&amp;$AB8&amp;$Z8,'Age data'!$A$3:$AE$254,8,FALSE)),ISBLANK(VLOOKUP($Y$7&amp;$AB8&amp;$Z8,'Age data'!$A$3:$AE$254,8,FALSE))),"",VLOOKUP($Y$7&amp;$AB8&amp;$Z8,'Age data'!$A$3:$AE$254,8,FALSE))</f>
        <v>0.12598381244766954</v>
      </c>
      <c r="AG8" s="20">
        <f>IF(OR(ISERROR(VLOOKUP($Y$7&amp;$AB8&amp;$Z8,'Age data'!$A$3:$AE$254,9,FALSE)),ISBLANK(VLOOKUP($Y$7&amp;$AB8&amp;$Z8,'Age data'!$A$3:$AE$254,9,FALSE))),"",VLOOKUP($Y$7&amp;$AB8&amp;$Z8,'Age data'!$A$3:$AE$254,9,FALSE))</f>
        <v>0.15394920457716996</v>
      </c>
      <c r="AH8" s="20">
        <f>IF(OR(ISERROR(VLOOKUP($Y$7&amp;$AB8&amp;$Z8,'Age data'!$A$3:$AE$254,10,FALSE)),ISBLANK(VLOOKUP($Y$7&amp;$AB8&amp;$Z8,'Age data'!$A$3:$AE$254,10,FALSE))),"",VLOOKUP($Y$7&amp;$AB8&amp;$Z8,'Age data'!$A$3:$AE$254,10,FALSE))</f>
        <v>1.4010605637733743E-2</v>
      </c>
      <c r="AI8" s="20">
        <f>IF(OR(ISERROR(VLOOKUP($Y$7&amp;$AB8&amp;$Z8,'Age data'!$A$3:$AE$254,11,FALSE)),ISBLANK(VLOOKUP($Y$7&amp;$AB8&amp;$Z8,'Age data'!$A$3:$AE$254,11,FALSE))),"",VLOOKUP($Y$7&amp;$AB8&amp;$Z8,'Age data'!$A$3:$AE$254,11,FALSE))</f>
        <v>5.8051911805749373E-3</v>
      </c>
      <c r="AJ8" s="20">
        <f>IF(OR(ISERROR(VLOOKUP($Y$7&amp;$AB8&amp;$Z8,'Age data'!$A$3:$AE$254,12,FALSE)),ISBLANK(VLOOKUP($Y$7&amp;$AB8&amp;$Z8,'Age data'!$A$3:$AE$254,12,FALSE))),"",VLOOKUP($Y$7&amp;$AB8&amp;$Z8,'Age data'!$A$3:$AE$254,12,FALSE))</f>
        <v>0.60669829751604798</v>
      </c>
      <c r="AK8" s="62"/>
    </row>
    <row r="9" spans="1:51" ht="15.75" customHeight="1" thickBot="1" x14ac:dyDescent="0.3">
      <c r="D9" s="127"/>
      <c r="E9" s="9" t="s">
        <v>6</v>
      </c>
      <c r="F9" s="10">
        <f>IF(F8="","",VLOOKUP($D$6&amp;$D$8&amp;$E8,'Age data'!$A$3:$AE$254,16,FALSE))</f>
        <v>0.121</v>
      </c>
      <c r="G9" s="10">
        <f>IF(F8="","",VLOOKUP($D$6&amp;$D$8&amp;$E8,'Age data'!$A$3:$AE$254,17,FALSE))</f>
        <v>0.15</v>
      </c>
      <c r="H9" s="10">
        <f>IF(H8="","",VLOOKUP($D$6&amp;$D$8&amp;$E8,'Age data'!$A$3:$AE$254,22,FALSE))</f>
        <v>6.6000000000000003E-2</v>
      </c>
      <c r="I9" s="10">
        <f>IF(H8="","",VLOOKUP($D$6&amp;$D$8&amp;$E8,'Age data'!$A$3:$AE$254,23,FALSE))</f>
        <v>8.8999999999999996E-2</v>
      </c>
      <c r="J9" s="10">
        <f>IF(J8="","",VLOOKUP($D$6&amp;$D$8&amp;$E8,'Age data'!$A$3:$AE$254,24,FALSE))</f>
        <v>0.439</v>
      </c>
      <c r="K9" s="10">
        <f>IF(J8="","",VLOOKUP($D$6&amp;$D$8&amp;$E8,'Age data'!$A$3:$AE$254,25,FALSE))</f>
        <v>0.48</v>
      </c>
      <c r="L9" s="10">
        <f>IF(L8="","",VLOOKUP($D$6&amp;$D$8&amp;$E8,'Age data'!$A$3:$AE$254,20,FALSE))</f>
        <v>6.0000000000000001E-3</v>
      </c>
      <c r="M9" s="10">
        <f>IF(L8="","",VLOOKUP($D$6&amp;$D$8&amp;$E8,'Age data'!$A$3:$AE$254,21,FALSE))</f>
        <v>1.4999999999999999E-2</v>
      </c>
      <c r="N9" s="10">
        <f>IF(N8="","",VLOOKUP($D$6&amp;$D$8&amp;$E8,'Age data'!$A$3:$AE$254,18,FALSE))</f>
        <v>3.0000000000000001E-3</v>
      </c>
      <c r="O9" s="10">
        <f>IF(N8="","",VLOOKUP($D$6&amp;$D$8&amp;$E8,'Age data'!$A$3:$AE$254,19,FALSE))</f>
        <v>0.01</v>
      </c>
      <c r="P9" s="10">
        <f>IF(P8="","",VLOOKUP($D$6&amp;$D$8&amp;$E8,'Age data'!$A$3:$AE$254,26,FALSE))</f>
        <v>2E-3</v>
      </c>
      <c r="Q9" s="10">
        <f>IF(P8="","",VLOOKUP($D$6&amp;$D$8&amp;$E8,'Age data'!$A$3:$AE$254,27,FALSE))</f>
        <v>8.0000000000000002E-3</v>
      </c>
      <c r="R9" s="10">
        <f>IF(R8="","",VLOOKUP($D$6&amp;$D$8&amp;$E8,'Age data'!$A$3:$AE$254,30,FALSE))</f>
        <v>0.27100000000000002</v>
      </c>
      <c r="S9" s="10">
        <f>IF(R8="","",VLOOKUP($D$6&amp;$D$8&amp;$E8,'Age data'!$A$3:$AE$254,31,FALSE))</f>
        <v>0.309</v>
      </c>
      <c r="T9" s="10">
        <f>IF(T8="","",VLOOKUP($D$6&amp;$D$8&amp;$E8,'Age data'!$A$3:$AE$254,28,FALSE))</f>
        <v>1.4E-2</v>
      </c>
      <c r="U9" s="10">
        <f>IF(T8="","",VLOOKUP($D$6&amp;$D$8&amp;$E8,'Age data'!$A$3:$AE$254,29,FALSE))</f>
        <v>2.5999999999999999E-2</v>
      </c>
      <c r="V9" s="87"/>
      <c r="W9" s="84"/>
      <c r="Y9" s="25"/>
      <c r="Z9" s="25" t="s">
        <v>7</v>
      </c>
      <c r="AA9" s="125"/>
      <c r="AB9" s="25" t="s">
        <v>2</v>
      </c>
      <c r="AC9" s="20">
        <f>IF(OR(ISERROR(VLOOKUP($Y$7&amp;$AB9&amp;$Z9,'Age data'!$A$3:$AE$254,5,FALSE)),ISBLANK(VLOOKUP($Y$7&amp;$AB9&amp;$Z9,'Age data'!$A$3:$AE$254,5,FALSE))),"",VLOOKUP($Y$7&amp;$AB9&amp;$Z9,'Age data'!$A$3:$AE$254,5,FALSE))</f>
        <v>0.18424036281179137</v>
      </c>
      <c r="AD9" s="20">
        <f>IF(OR(ISERROR(VLOOKUP($Y$7&amp;$AB9&amp;$Z9,'Age data'!$A$3:$AE$254,6,FALSE)),ISBLANK(VLOOKUP($Y$7&amp;$AB9&amp;$Z9,'Age data'!$A$3:$AE$254,6,FALSE))),"",VLOOKUP($Y$7&amp;$AB9&amp;$Z9,'Age data'!$A$3:$AE$254,6,FALSE))</f>
        <v>3.4580498866213151E-2</v>
      </c>
      <c r="AE9" s="20">
        <f>IF(OR(ISERROR(VLOOKUP($Y$7&amp;$AB9&amp;$Z9,'Age data'!$A$3:$AE$254,7,FALSE)),ISBLANK(VLOOKUP($Y$7&amp;$AB9&amp;$Z9,'Age data'!$A$3:$AE$254,7,FALSE))),"",VLOOKUP($Y$7&amp;$AB9&amp;$Z9,'Age data'!$A$3:$AE$254,7,FALSE))</f>
        <v>4.5634920634920632E-2</v>
      </c>
      <c r="AF9" s="20">
        <f>IF(OR(ISERROR(VLOOKUP($Y$7&amp;$AB9&amp;$Z9,'Age data'!$A$3:$AE$254,8,FALSE)),ISBLANK(VLOOKUP($Y$7&amp;$AB9&amp;$Z9,'Age data'!$A$3:$AE$254,8,FALSE))),"",VLOOKUP($Y$7&amp;$AB9&amp;$Z9,'Age data'!$A$3:$AE$254,8,FALSE))</f>
        <v>0.10799319727891156</v>
      </c>
      <c r="AG9" s="20">
        <f>IF(OR(ISERROR(VLOOKUP($Y$7&amp;$AB9&amp;$Z9,'Age data'!$A$3:$AE$254,9,FALSE)),ISBLANK(VLOOKUP($Y$7&amp;$AB9&amp;$Z9,'Age data'!$A$3:$AE$254,9,FALSE))),"",VLOOKUP($Y$7&amp;$AB9&amp;$Z9,'Age data'!$A$3:$AE$254,9,FALSE))</f>
        <v>0.15731292517006804</v>
      </c>
      <c r="AH9" s="20">
        <f>IF(OR(ISERROR(VLOOKUP($Y$7&amp;$AB9&amp;$Z9,'Age data'!$A$3:$AE$254,10,FALSE)),ISBLANK(VLOOKUP($Y$7&amp;$AB9&amp;$Z9,'Age data'!$A$3:$AE$254,10,FALSE))),"",VLOOKUP($Y$7&amp;$AB9&amp;$Z9,'Age data'!$A$3:$AE$254,10,FALSE))</f>
        <v>4.1666666666666664E-2</v>
      </c>
      <c r="AI9" s="20">
        <f>IF(OR(ISERROR(VLOOKUP($Y$7&amp;$AB9&amp;$Z9,'Age data'!$A$3:$AE$254,11,FALSE)),ISBLANK(VLOOKUP($Y$7&amp;$AB9&amp;$Z9,'Age data'!$A$3:$AE$254,11,FALSE))),"",VLOOKUP($Y$7&amp;$AB9&amp;$Z9,'Age data'!$A$3:$AE$254,11,FALSE))</f>
        <v>0.13038548752834467</v>
      </c>
      <c r="AJ9" s="20">
        <f>IF(OR(ISERROR(VLOOKUP($Y$7&amp;$AB9&amp;$Z9,'Age data'!$A$3:$AE$254,12,FALSE)),ISBLANK(VLOOKUP($Y$7&amp;$AB9&amp;$Z9,'Age data'!$A$3:$AE$254,12,FALSE))),"",VLOOKUP($Y$7&amp;$AB9&amp;$Z9,'Age data'!$A$3:$AE$254,12,FALSE))</f>
        <v>0.29818594104308388</v>
      </c>
      <c r="AK9" s="62"/>
    </row>
    <row r="10" spans="1:51" ht="15.75" x14ac:dyDescent="0.25">
      <c r="D10" s="127"/>
      <c r="E10" s="15" t="s">
        <v>8</v>
      </c>
      <c r="F10" s="85">
        <f>IF(OR(ISERROR(VLOOKUP($D$6&amp;$D$8&amp;$E10,'Age data'!$A$3:$AE$254,5,FALSE)),ISBLANK(VLOOKUP($D$6&amp;$D$8&amp;$E10,'Age data'!$A$3:$AE$254,5,FALSE))),"",VLOOKUP($D$6&amp;$D$8&amp;$E10,'Age data'!$A$3:$AE$254,5,FALSE))</f>
        <v>0.12891274761832755</v>
      </c>
      <c r="G10" s="85"/>
      <c r="H10" s="85">
        <f>IF(OR(ISERROR(VLOOKUP($D$6&amp;$D$8&amp;$E10,'Age data'!$A$3:$AE$254,8,FALSE)),ISBLANK(VLOOKUP($D$6&amp;$D$8&amp;$E10,'Age data'!$A$3:$AE$254,8,FALSE))),"",VLOOKUP($D$6&amp;$D$8&amp;$E10,'Age data'!$A$3:$AE$254,8,FALSE))</f>
        <v>4.7709057916225615E-2</v>
      </c>
      <c r="I10" s="85"/>
      <c r="J10" s="85">
        <f>IF(OR(ISERROR(VLOOKUP($D$6&amp;$D$8&amp;$E10,'Age data'!$A$3:$AE$254,9,FALSE)),ISBLANK(VLOOKUP($D$6&amp;$D$8&amp;$E10,'Age data'!$A$3:$AE$254,9,FALSE))),"",VLOOKUP($D$6&amp;$D$8&amp;$E10,'Age data'!$A$3:$AE$254,9,FALSE))</f>
        <v>0.52653863601996065</v>
      </c>
      <c r="K10" s="85"/>
      <c r="L10" s="85">
        <f>IF(OR(ISERROR(VLOOKUP($D$6&amp;$D$8&amp;$E10,'Age data'!$A$3:$AE$254,7,FALSE)),ISBLANK(VLOOKUP($D$6&amp;$D$8&amp;$E10,'Age data'!$A$3:$AE$254,7,FALSE))),"",VLOOKUP($D$6&amp;$D$8&amp;$E10,'Age data'!$A$3:$AE$254,7,FALSE))</f>
        <v>1.2021775291093301E-2</v>
      </c>
      <c r="M10" s="85"/>
      <c r="N10" s="85">
        <f>IF(OR(ISERROR(VLOOKUP($D$6&amp;$D$8&amp;$E10,'Age data'!$A$3:$AE$254,6,FALSE)),ISBLANK(VLOOKUP($D$6&amp;$D$8&amp;$E10,'Age data'!$A$3:$AE$254,6,FALSE))),"",VLOOKUP($D$6&amp;$D$8&amp;$E10,'Age data'!$A$3:$AE$254,6,FALSE))</f>
        <v>3.8560411311053984E-3</v>
      </c>
      <c r="O10" s="85"/>
      <c r="P10" s="85">
        <f>IF(OR(ISERROR(VLOOKUP($D$6&amp;$D$8&amp;$E10,'Age data'!$A$3:$AE$254,10,FALSE)),ISBLANK(VLOOKUP($D$6&amp;$D$8&amp;$E10,'Age data'!$A$3:$AE$254,10,FALSE))),"",VLOOKUP($D$6&amp;$D$8&amp;$E10,'Age data'!$A$3:$AE$254,10,FALSE))</f>
        <v>4.7633449266596102E-3</v>
      </c>
      <c r="Q10" s="85"/>
      <c r="R10" s="85">
        <f>IF(OR(ISERROR(VLOOKUP($D$6&amp;$D$8&amp;$E10,'Age data'!$A$3:$AE$254,12,FALSE)),ISBLANK(VLOOKUP($D$6&amp;$D$8&amp;$E10,'Age data'!$A$3:$AE$254,12,FALSE))),"",VLOOKUP($D$6&amp;$D$8&amp;$E10,'Age data'!$A$3:$AE$254,12,FALSE))</f>
        <v>0.25616210494480568</v>
      </c>
      <c r="S10" s="85"/>
      <c r="T10" s="85">
        <f>IF(OR(ISERROR(VLOOKUP($D$6&amp;$D$8&amp;$E10,'Age data'!$A$3:$AE$254,11,FALSE)),ISBLANK(VLOOKUP($D$6&amp;$D$8&amp;$E10,'Age data'!$A$3:$AE$254,11,FALSE))),"",VLOOKUP($D$6&amp;$D$8&amp;$E10,'Age data'!$A$3:$AE$254,11,FALSE))</f>
        <v>2.003629215182217E-2</v>
      </c>
      <c r="U10" s="85"/>
      <c r="V10" s="86">
        <f>SUM(F10,N10,L10,H10,J10,P10,T10,R10)</f>
        <v>1</v>
      </c>
      <c r="W10" s="83">
        <f>IF(OR(ISERROR(VLOOKUP($D$6&amp;$D$8&amp;$E10,'Age data'!$A$3:$AE$254,14,FALSE)),ISBLANK(VLOOKUP($D$6&amp;$D$8&amp;$E10,'Age data'!$A$3:$AE$254,14,FALSE))),"",VLOOKUP($D$6&amp;$D$8&amp;$E10,'Age data'!$A$3:$AE$254,14,FALSE))</f>
        <v>13226</v>
      </c>
      <c r="Y10" s="25"/>
      <c r="Z10" s="25" t="s">
        <v>7</v>
      </c>
      <c r="AA10" s="125"/>
      <c r="AB10" s="25" t="s">
        <v>32</v>
      </c>
      <c r="AC10" s="20">
        <f>IF(OR(ISERROR(VLOOKUP($Y$7&amp;$AB10&amp;$Z10,'Age data'!$A$3:$AE$254,5,FALSE)),ISBLANK(VLOOKUP($Y$7&amp;$AB10&amp;$Z10,'Age data'!$A$3:$AE$254,5,FALSE))),"",VLOOKUP($Y$7&amp;$AB10&amp;$Z10,'Age data'!$A$3:$AE$254,5,FALSE))</f>
        <v>0.23097463284379172</v>
      </c>
      <c r="AD10" s="20">
        <f>IF(OR(ISERROR(VLOOKUP($Y$7&amp;$AB10&amp;$Z10,'Age data'!$A$3:$AE$254,6,FALSE)),ISBLANK(VLOOKUP($Y$7&amp;$AB10&amp;$Z10,'Age data'!$A$3:$AE$254,6,FALSE))),"",VLOOKUP($Y$7&amp;$AB10&amp;$Z10,'Age data'!$A$3:$AE$254,6,FALSE))</f>
        <v>5.0734312416555405E-2</v>
      </c>
      <c r="AE10" s="20">
        <f>IF(OR(ISERROR(VLOOKUP($Y$7&amp;$AB10&amp;$Z10,'Age data'!$A$3:$AE$254,7,FALSE)),ISBLANK(VLOOKUP($Y$7&amp;$AB10&amp;$Z10,'Age data'!$A$3:$AE$254,7,FALSE))),"",VLOOKUP($Y$7&amp;$AB10&amp;$Z10,'Age data'!$A$3:$AE$254,7,FALSE))</f>
        <v>2.9372496662216287E-2</v>
      </c>
      <c r="AF10" s="20">
        <f>IF(OR(ISERROR(VLOOKUP($Y$7&amp;$AB10&amp;$Z10,'Age data'!$A$3:$AE$254,8,FALSE)),ISBLANK(VLOOKUP($Y$7&amp;$AB10&amp;$Z10,'Age data'!$A$3:$AE$254,8,FALSE))),"",VLOOKUP($Y$7&amp;$AB10&amp;$Z10,'Age data'!$A$3:$AE$254,8,FALSE))</f>
        <v>0.13084112149532709</v>
      </c>
      <c r="AG10" s="20">
        <f>IF(OR(ISERROR(VLOOKUP($Y$7&amp;$AB10&amp;$Z10,'Age data'!$A$3:$AE$254,9,FALSE)),ISBLANK(VLOOKUP($Y$7&amp;$AB10&amp;$Z10,'Age data'!$A$3:$AE$254,9,FALSE))),"",VLOOKUP($Y$7&amp;$AB10&amp;$Z10,'Age data'!$A$3:$AE$254,9,FALSE))</f>
        <v>0.19092122830440589</v>
      </c>
      <c r="AH10" s="20">
        <f>IF(OR(ISERROR(VLOOKUP($Y$7&amp;$AB10&amp;$Z10,'Age data'!$A$3:$AE$254,10,FALSE)),ISBLANK(VLOOKUP($Y$7&amp;$AB10&amp;$Z10,'Age data'!$A$3:$AE$254,10,FALSE))),"",VLOOKUP($Y$7&amp;$AB10&amp;$Z10,'Age data'!$A$3:$AE$254,10,FALSE))</f>
        <v>6.1415220293724967E-2</v>
      </c>
      <c r="AI10" s="20">
        <f>IF(OR(ISERROR(VLOOKUP($Y$7&amp;$AB10&amp;$Z10,'Age data'!$A$3:$AE$254,11,FALSE)),ISBLANK(VLOOKUP($Y$7&amp;$AB10&amp;$Z10,'Age data'!$A$3:$AE$254,11,FALSE))),"",VLOOKUP($Y$7&amp;$AB10&amp;$Z10,'Age data'!$A$3:$AE$254,11,FALSE))</f>
        <v>8.2777036048064079E-2</v>
      </c>
      <c r="AJ10" s="20">
        <f>IF(OR(ISERROR(VLOOKUP($Y$7&amp;$AB10&amp;$Z10,'Age data'!$A$3:$AE$254,12,FALSE)),ISBLANK(VLOOKUP($Y$7&amp;$AB10&amp;$Z10,'Age data'!$A$3:$AE$254,12,FALSE))),"",VLOOKUP($Y$7&amp;$AB10&amp;$Z10,'Age data'!$A$3:$AE$254,12,FALSE))</f>
        <v>0.22296395193591456</v>
      </c>
      <c r="AK10" s="62"/>
    </row>
    <row r="11" spans="1:51" ht="15.75" customHeight="1" thickBot="1" x14ac:dyDescent="0.3">
      <c r="D11" s="127"/>
      <c r="E11" s="9" t="s">
        <v>6</v>
      </c>
      <c r="F11" s="10">
        <f>IF(F10="","",VLOOKUP($D$6&amp;$D$8&amp;$E10,'Age data'!$A$3:$AE$254,16,FALSE))</f>
        <v>0.123</v>
      </c>
      <c r="G11" s="10">
        <f>IF(F10="","",VLOOKUP($D$6&amp;$D$8&amp;$E10,'Age data'!$A$3:$AE$254,17,FALSE))</f>
        <v>0.13500000000000001</v>
      </c>
      <c r="H11" s="10">
        <f>IF(H10="","",VLOOKUP($D$6&amp;$D$8&amp;$E10,'Age data'!$A$3:$AE$254,22,FALSE))</f>
        <v>4.3999999999999997E-2</v>
      </c>
      <c r="I11" s="10">
        <f>IF(H10="","",VLOOKUP($D$6&amp;$D$8&amp;$E10,'Age data'!$A$3:$AE$254,23,FALSE))</f>
        <v>5.0999999999999997E-2</v>
      </c>
      <c r="J11" s="10">
        <f>IF(J10="","",VLOOKUP($D$6&amp;$D$8&amp;$E10,'Age data'!$A$3:$AE$254,24,FALSE))</f>
        <v>0.51800000000000002</v>
      </c>
      <c r="K11" s="10">
        <f>IF(J10="","",VLOOKUP($D$6&amp;$D$8&amp;$E10,'Age data'!$A$3:$AE$254,25,FALSE))</f>
        <v>0.53500000000000003</v>
      </c>
      <c r="L11" s="10">
        <f>IF(L10="","",VLOOKUP($D$6&amp;$D$8&amp;$E10,'Age data'!$A$3:$AE$254,20,FALSE))</f>
        <v>0.01</v>
      </c>
      <c r="M11" s="10">
        <f>IF(L10="","",VLOOKUP($D$6&amp;$D$8&amp;$E10,'Age data'!$A$3:$AE$254,21,FALSE))</f>
        <v>1.4E-2</v>
      </c>
      <c r="N11" s="10">
        <f>IF(N10="","",VLOOKUP($D$6&amp;$D$8&amp;$E10,'Age data'!$A$3:$AE$254,18,FALSE))</f>
        <v>3.0000000000000001E-3</v>
      </c>
      <c r="O11" s="10">
        <f>IF(N10="","",VLOOKUP($D$6&amp;$D$8&amp;$E10,'Age data'!$A$3:$AE$254,19,FALSE))</f>
        <v>5.0000000000000001E-3</v>
      </c>
      <c r="P11" s="10">
        <f>IF(P10="","",VLOOKUP($D$6&amp;$D$8&amp;$E10,'Age data'!$A$3:$AE$254,26,FALSE))</f>
        <v>4.0000000000000001E-3</v>
      </c>
      <c r="Q11" s="10">
        <f>IF(P10="","",VLOOKUP($D$6&amp;$D$8&amp;$E10,'Age data'!$A$3:$AE$254,27,FALSE))</f>
        <v>6.0000000000000001E-3</v>
      </c>
      <c r="R11" s="10">
        <f>IF(R10="","",VLOOKUP($D$6&amp;$D$8&amp;$E10,'Age data'!$A$3:$AE$254,30,FALSE))</f>
        <v>0.249</v>
      </c>
      <c r="S11" s="10">
        <f>IF(R10="","",VLOOKUP($D$6&amp;$D$8&amp;$E10,'Age data'!$A$3:$AE$254,31,FALSE))</f>
        <v>0.26400000000000001</v>
      </c>
      <c r="T11" s="10">
        <f>IF(T10="","",VLOOKUP($D$6&amp;$D$8&amp;$E10,'Age data'!$A$3:$AE$254,28,FALSE))</f>
        <v>1.7999999999999999E-2</v>
      </c>
      <c r="U11" s="10">
        <f>IF(T10="","",VLOOKUP($D$6&amp;$D$8&amp;$E10,'Age data'!$A$3:$AE$254,29,FALSE))</f>
        <v>2.3E-2</v>
      </c>
      <c r="V11" s="87"/>
      <c r="W11" s="84"/>
      <c r="Y11" s="25"/>
      <c r="Z11" s="25" t="s">
        <v>7</v>
      </c>
      <c r="AA11" s="125"/>
      <c r="AB11" s="25" t="s">
        <v>3</v>
      </c>
      <c r="AC11" s="20">
        <f>IF(OR(ISERROR(VLOOKUP($Y$7&amp;$AB11&amp;$Z11,'Age data'!$A$3:$AE$254,5,FALSE)),ISBLANK(VLOOKUP($Y$7&amp;$AB11&amp;$Z11,'Age data'!$A$3:$AE$254,5,FALSE))),"",VLOOKUP($Y$7&amp;$AB11&amp;$Z11,'Age data'!$A$3:$AE$254,5,FALSE))</f>
        <v>8.7591240875912413E-2</v>
      </c>
      <c r="AD11" s="20">
        <f>IF(OR(ISERROR(VLOOKUP($Y$7&amp;$AB11&amp;$Z11,'Age data'!$A$3:$AE$254,6,FALSE)),ISBLANK(VLOOKUP($Y$7&amp;$AB11&amp;$Z11,'Age data'!$A$3:$AE$254,6,FALSE))),"",VLOOKUP($Y$7&amp;$AB11&amp;$Z11,'Age data'!$A$3:$AE$254,6,FALSE))</f>
        <v>0.16058394160583941</v>
      </c>
      <c r="AE11" s="20">
        <f>IF(OR(ISERROR(VLOOKUP($Y$7&amp;$AB11&amp;$Z11,'Age data'!$A$3:$AE$254,7,FALSE)),ISBLANK(VLOOKUP($Y$7&amp;$AB11&amp;$Z11,'Age data'!$A$3:$AE$254,7,FALSE))),"",VLOOKUP($Y$7&amp;$AB11&amp;$Z11,'Age data'!$A$3:$AE$254,7,FALSE))</f>
        <v>5.5961070559610707E-2</v>
      </c>
      <c r="AF11" s="20">
        <f>IF(OR(ISERROR(VLOOKUP($Y$7&amp;$AB11&amp;$Z11,'Age data'!$A$3:$AE$254,8,FALSE)),ISBLANK(VLOOKUP($Y$7&amp;$AB11&amp;$Z11,'Age data'!$A$3:$AE$254,8,FALSE))),"",VLOOKUP($Y$7&amp;$AB11&amp;$Z11,'Age data'!$A$3:$AE$254,8,FALSE))</f>
        <v>6.0827250608272508E-2</v>
      </c>
      <c r="AG11" s="20">
        <f>IF(OR(ISERROR(VLOOKUP($Y$7&amp;$AB11&amp;$Z11,'Age data'!$A$3:$AE$254,9,FALSE)),ISBLANK(VLOOKUP($Y$7&amp;$AB11&amp;$Z11,'Age data'!$A$3:$AE$254,9,FALSE))),"",VLOOKUP($Y$7&amp;$AB11&amp;$Z11,'Age data'!$A$3:$AE$254,9,FALSE))</f>
        <v>6.3260340632603412E-2</v>
      </c>
      <c r="AH11" s="20">
        <f>IF(OR(ISERROR(VLOOKUP($Y$7&amp;$AB11&amp;$Z11,'Age data'!$A$3:$AE$254,10,FALSE)),ISBLANK(VLOOKUP($Y$7&amp;$AB11&amp;$Z11,'Age data'!$A$3:$AE$254,10,FALSE))),"",VLOOKUP($Y$7&amp;$AB11&amp;$Z11,'Age data'!$A$3:$AE$254,10,FALSE))</f>
        <v>0.15085158150851583</v>
      </c>
      <c r="AI11" s="20">
        <f>IF(OR(ISERROR(VLOOKUP($Y$7&amp;$AB11&amp;$Z11,'Age data'!$A$3:$AE$254,11,FALSE)),ISBLANK(VLOOKUP($Y$7&amp;$AB11&amp;$Z11,'Age data'!$A$3:$AE$254,11,FALSE))),"",VLOOKUP($Y$7&amp;$AB11&amp;$Z11,'Age data'!$A$3:$AE$254,11,FALSE))</f>
        <v>0.170316301703163</v>
      </c>
      <c r="AJ11" s="20">
        <f>IF(OR(ISERROR(VLOOKUP($Y$7&amp;$AB11&amp;$Z11,'Age data'!$A$3:$AE$254,12,FALSE)),ISBLANK(VLOOKUP($Y$7&amp;$AB11&amp;$Z11,'Age data'!$A$3:$AE$254,12,FALSE))),"",VLOOKUP($Y$7&amp;$AB11&amp;$Z11,'Age data'!$A$3:$AE$254,12,FALSE))</f>
        <v>0.25060827250608275</v>
      </c>
      <c r="AK11" s="62"/>
    </row>
    <row r="12" spans="1:51" ht="15.75" x14ac:dyDescent="0.25">
      <c r="D12" s="127"/>
      <c r="E12" s="15" t="s">
        <v>9</v>
      </c>
      <c r="F12" s="85">
        <f>IF(OR(ISERROR(VLOOKUP($D$6&amp;$D$8&amp;$E12,'Age data'!$A$3:$AE$254,5,FALSE)),ISBLANK(VLOOKUP($D$6&amp;$D$8&amp;$E12,'Age data'!$A$3:$AE$254,5,FALSE))),"",VLOOKUP($D$6&amp;$D$8&amp;$E12,'Age data'!$A$3:$AE$254,5,FALSE))</f>
        <v>0.13795927280668233</v>
      </c>
      <c r="G12" s="85"/>
      <c r="H12" s="85">
        <f>IF(OR(ISERROR(VLOOKUP($D$6&amp;$D$8&amp;$E12,'Age data'!$A$3:$AE$254,8,FALSE)),ISBLANK(VLOOKUP($D$6&amp;$D$8&amp;$E12,'Age data'!$A$3:$AE$254,8,FALSE))),"",VLOOKUP($D$6&amp;$D$8&amp;$E12,'Age data'!$A$3:$AE$254,8,FALSE))</f>
        <v>3.4012119888628053E-2</v>
      </c>
      <c r="I12" s="85"/>
      <c r="J12" s="85">
        <f>IF(OR(ISERROR(VLOOKUP($D$6&amp;$D$8&amp;$E12,'Age data'!$A$3:$AE$254,9,FALSE)),ISBLANK(VLOOKUP($D$6&amp;$D$8&amp;$E12,'Age data'!$A$3:$AE$254,9,FALSE))),"",VLOOKUP($D$6&amp;$D$8&amp;$E12,'Age data'!$A$3:$AE$254,9,FALSE))</f>
        <v>0.62346454113664906</v>
      </c>
      <c r="K12" s="85"/>
      <c r="L12" s="85">
        <f>IF(OR(ISERROR(VLOOKUP($D$6&amp;$D$8&amp;$E12,'Age data'!$A$3:$AE$254,7,FALSE)),ISBLANK(VLOOKUP($D$6&amp;$D$8&amp;$E12,'Age data'!$A$3:$AE$254,7,FALSE))),"",VLOOKUP($D$6&amp;$D$8&amp;$E12,'Age data'!$A$3:$AE$254,7,FALSE))</f>
        <v>8.0799257520336298E-3</v>
      </c>
      <c r="M12" s="85"/>
      <c r="N12" s="85">
        <f>IF(OR(ISERROR(VLOOKUP($D$6&amp;$D$8&amp;$E12,'Age data'!$A$3:$AE$254,6,FALSE)),ISBLANK(VLOOKUP($D$6&amp;$D$8&amp;$E12,'Age data'!$A$3:$AE$254,6,FALSE))),"",VLOOKUP($D$6&amp;$D$8&amp;$E12,'Age data'!$A$3:$AE$254,6,FALSE))</f>
        <v>2.7842987388764537E-3</v>
      </c>
      <c r="O12" s="85"/>
      <c r="P12" s="85">
        <f>IF(OR(ISERROR(VLOOKUP($D$6&amp;$D$8&amp;$E12,'Age data'!$A$3:$AE$254,10,FALSE)),ISBLANK(VLOOKUP($D$6&amp;$D$8&amp;$E12,'Age data'!$A$3:$AE$254,10,FALSE))),"",VLOOKUP($D$6&amp;$D$8&amp;$E12,'Age data'!$A$3:$AE$254,10,FALSE))</f>
        <v>3.5486160397444995E-3</v>
      </c>
      <c r="Q12" s="85"/>
      <c r="R12" s="85">
        <f>IF(OR(ISERROR(VLOOKUP($D$6&amp;$D$8&amp;$E12,'Age data'!$A$3:$AE$254,12,FALSE)),ISBLANK(VLOOKUP($D$6&amp;$D$8&amp;$E12,'Age data'!$A$3:$AE$254,12,FALSE))),"",VLOOKUP($D$6&amp;$D$8&amp;$E12,'Age data'!$A$3:$AE$254,12,FALSE))</f>
        <v>0.17087951083692746</v>
      </c>
      <c r="S12" s="85"/>
      <c r="T12" s="85">
        <f>IF(OR(ISERROR(VLOOKUP($D$6&amp;$D$8&amp;$E12,'Age data'!$A$3:$AE$254,11,FALSE)),ISBLANK(VLOOKUP($D$6&amp;$D$8&amp;$E12,'Age data'!$A$3:$AE$254,11,FALSE))),"",VLOOKUP($D$6&amp;$D$8&amp;$E12,'Age data'!$A$3:$AE$254,11,FALSE))</f>
        <v>1.9271714800458591E-2</v>
      </c>
      <c r="U12" s="85"/>
      <c r="V12" s="86">
        <f>SUM(F12,N12,L12,H12,J12,P12,T12,R12)</f>
        <v>1.0000000000000002</v>
      </c>
      <c r="W12" s="83">
        <f>IF(OR(ISERROR(VLOOKUP($D$6&amp;$D$8&amp;$E12,'Age data'!$A$3:$AE$254,14,FALSE)),ISBLANK(VLOOKUP($D$6&amp;$D$8&amp;$E12,'Age data'!$A$3:$AE$254,14,FALSE))),"",VLOOKUP($D$6&amp;$D$8&amp;$E12,'Age data'!$A$3:$AE$254,14,FALSE))</f>
        <v>18317</v>
      </c>
      <c r="Y12" s="25"/>
      <c r="Z12" s="25" t="s">
        <v>7</v>
      </c>
      <c r="AA12" s="125"/>
      <c r="AB12" s="25" t="s">
        <v>4</v>
      </c>
      <c r="AC12" s="20">
        <f>IF(OR(ISERROR(VLOOKUP($Y$7&amp;$AB12&amp;$Z12,'Age data'!$A$3:$AE$254,5,FALSE)),ISBLANK(VLOOKUP($Y$7&amp;$AB12&amp;$Z12,'Age data'!$A$3:$AE$254,5,FALSE))),"",VLOOKUP($Y$7&amp;$AB12&amp;$Z12,'Age data'!$A$3:$AE$254,5,FALSE))</f>
        <v>0.28722538649308382</v>
      </c>
      <c r="AD12" s="20">
        <f>IF(OR(ISERROR(VLOOKUP($Y$7&amp;$AB12&amp;$Z12,'Age data'!$A$3:$AE$254,6,FALSE)),ISBLANK(VLOOKUP($Y$7&amp;$AB12&amp;$Z12,'Age data'!$A$3:$AE$254,6,FALSE))),"",VLOOKUP($Y$7&amp;$AB12&amp;$Z12,'Age data'!$A$3:$AE$254,6,FALSE))</f>
        <v>3.4174125305126118E-2</v>
      </c>
      <c r="AE12" s="20">
        <f>IF(OR(ISERROR(VLOOKUP($Y$7&amp;$AB12&amp;$Z12,'Age data'!$A$3:$AE$254,7,FALSE)),ISBLANK(VLOOKUP($Y$7&amp;$AB12&amp;$Z12,'Age data'!$A$3:$AE$254,7,FALSE))),"",VLOOKUP($Y$7&amp;$AB12&amp;$Z12,'Age data'!$A$3:$AE$254,7,FALSE))</f>
        <v>6.9975589910496336E-2</v>
      </c>
      <c r="AF12" s="20">
        <f>IF(OR(ISERROR(VLOOKUP($Y$7&amp;$AB12&amp;$Z12,'Age data'!$A$3:$AE$254,8,FALSE)),ISBLANK(VLOOKUP($Y$7&amp;$AB12&amp;$Z12,'Age data'!$A$3:$AE$254,8,FALSE))),"",VLOOKUP($Y$7&amp;$AB12&amp;$Z12,'Age data'!$A$3:$AE$254,8,FALSE))</f>
        <v>7.7298616761594788E-2</v>
      </c>
      <c r="AG12" s="20">
        <f>IF(OR(ISERROR(VLOOKUP($Y$7&amp;$AB12&amp;$Z12,'Age data'!$A$3:$AE$254,9,FALSE)),ISBLANK(VLOOKUP($Y$7&amp;$AB12&amp;$Z12,'Age data'!$A$3:$AE$254,9,FALSE))),"",VLOOKUP($Y$7&amp;$AB12&amp;$Z12,'Age data'!$A$3:$AE$254,9,FALSE))</f>
        <v>0.17249796582587471</v>
      </c>
      <c r="AH12" s="20">
        <f>IF(OR(ISERROR(VLOOKUP($Y$7&amp;$AB12&amp;$Z12,'Age data'!$A$3:$AE$254,10,FALSE)),ISBLANK(VLOOKUP($Y$7&amp;$AB12&amp;$Z12,'Age data'!$A$3:$AE$254,10,FALSE))),"",VLOOKUP($Y$7&amp;$AB12&amp;$Z12,'Age data'!$A$3:$AE$254,10,FALSE))</f>
        <v>4.0683482506102521E-2</v>
      </c>
      <c r="AI12" s="20">
        <f>IF(OR(ISERROR(VLOOKUP($Y$7&amp;$AB12&amp;$Z12,'Age data'!$A$3:$AE$254,11,FALSE)),ISBLANK(VLOOKUP($Y$7&amp;$AB12&amp;$Z12,'Age data'!$A$3:$AE$254,11,FALSE))),"",VLOOKUP($Y$7&amp;$AB12&amp;$Z12,'Age data'!$A$3:$AE$254,11,FALSE))</f>
        <v>0.15134255492270138</v>
      </c>
      <c r="AJ12" s="20">
        <f>IF(OR(ISERROR(VLOOKUP($Y$7&amp;$AB12&amp;$Z12,'Age data'!$A$3:$AE$254,12,FALSE)),ISBLANK(VLOOKUP($Y$7&amp;$AB12&amp;$Z12,'Age data'!$A$3:$AE$254,12,FALSE))),"",VLOOKUP($Y$7&amp;$AB12&amp;$Z12,'Age data'!$A$3:$AE$254,12,FALSE))</f>
        <v>0.16680227827502034</v>
      </c>
      <c r="AK12" s="62"/>
    </row>
    <row r="13" spans="1:51" ht="15.75" customHeight="1" thickBot="1" x14ac:dyDescent="0.3">
      <c r="D13" s="127"/>
      <c r="E13" s="9" t="s">
        <v>6</v>
      </c>
      <c r="F13" s="10">
        <f>IF(F12="","",VLOOKUP($D$6&amp;$D$8&amp;$E12,'Age data'!$A$3:$AE$254,16,FALSE))</f>
        <v>0.13300000000000001</v>
      </c>
      <c r="G13" s="10">
        <f>IF(F12="","",VLOOKUP($D$6&amp;$D$8&amp;$E12,'Age data'!$A$3:$AE$254,17,FALSE))</f>
        <v>0.14299999999999999</v>
      </c>
      <c r="H13" s="10">
        <f>IF(H12="","",VLOOKUP($D$6&amp;$D$8&amp;$E12,'Age data'!$A$3:$AE$254,22,FALSE))</f>
        <v>3.1E-2</v>
      </c>
      <c r="I13" s="10">
        <f>IF(H12="","",VLOOKUP($D$6&amp;$D$8&amp;$E12,'Age data'!$A$3:$AE$254,23,FALSE))</f>
        <v>3.6999999999999998E-2</v>
      </c>
      <c r="J13" s="10">
        <f>IF(J12="","",VLOOKUP($D$6&amp;$D$8&amp;$E12,'Age data'!$A$3:$AE$254,24,FALSE))</f>
        <v>0.61599999999999999</v>
      </c>
      <c r="K13" s="10">
        <f>IF(J12="","",VLOOKUP($D$6&amp;$D$8&amp;$E12,'Age data'!$A$3:$AE$254,25,FALSE))</f>
        <v>0.63</v>
      </c>
      <c r="L13" s="10">
        <f>IF(L12="","",VLOOKUP($D$6&amp;$D$8&amp;$E12,'Age data'!$A$3:$AE$254,20,FALSE))</f>
        <v>7.0000000000000001E-3</v>
      </c>
      <c r="M13" s="10">
        <f>IF(L12="","",VLOOKUP($D$6&amp;$D$8&amp;$E12,'Age data'!$A$3:$AE$254,21,FALSE))</f>
        <v>8.9999999999999993E-3</v>
      </c>
      <c r="N13" s="10">
        <f>IF(N12="","",VLOOKUP($D$6&amp;$D$8&amp;$E12,'Age data'!$A$3:$AE$254,18,FALSE))</f>
        <v>2E-3</v>
      </c>
      <c r="O13" s="10">
        <f>IF(N12="","",VLOOKUP($D$6&amp;$D$8&amp;$E12,'Age data'!$A$3:$AE$254,19,FALSE))</f>
        <v>4.0000000000000001E-3</v>
      </c>
      <c r="P13" s="10">
        <f>IF(P12="","",VLOOKUP($D$6&amp;$D$8&amp;$E12,'Age data'!$A$3:$AE$254,26,FALSE))</f>
        <v>3.0000000000000001E-3</v>
      </c>
      <c r="Q13" s="10">
        <f>IF(P12="","",VLOOKUP($D$6&amp;$D$8&amp;$E12,'Age data'!$A$3:$AE$254,27,FALSE))</f>
        <v>5.0000000000000001E-3</v>
      </c>
      <c r="R13" s="10">
        <f>IF(R12="","",VLOOKUP($D$6&amp;$D$8&amp;$E12,'Age data'!$A$3:$AE$254,30,FALSE))</f>
        <v>0.16500000000000001</v>
      </c>
      <c r="S13" s="10">
        <f>IF(R12="","",VLOOKUP($D$6&amp;$D$8&amp;$E12,'Age data'!$A$3:$AE$254,31,FALSE))</f>
        <v>0.17599999999999999</v>
      </c>
      <c r="T13" s="10">
        <f>IF(T12="","",VLOOKUP($D$6&amp;$D$8&amp;$E12,'Age data'!$A$3:$AE$254,28,FALSE))</f>
        <v>1.7000000000000001E-2</v>
      </c>
      <c r="U13" s="10">
        <f>IF(T12="","",VLOOKUP($D$6&amp;$D$8&amp;$E12,'Age data'!$A$3:$AE$254,29,FALSE))</f>
        <v>2.1000000000000001E-2</v>
      </c>
      <c r="V13" s="87"/>
      <c r="W13" s="84"/>
      <c r="Y13" s="25"/>
      <c r="Z13" s="25" t="s">
        <v>7</v>
      </c>
      <c r="AA13" s="125"/>
      <c r="AB13" s="25" t="s">
        <v>34</v>
      </c>
      <c r="AC13" s="20">
        <f>IF(OR(ISERROR(VLOOKUP($Y$7&amp;$AB13&amp;$Z13,'Age data'!$A$3:$AE$254,5,FALSE)),ISBLANK(VLOOKUP($Y$7&amp;$AB13&amp;$Z13,'Age data'!$A$3:$AE$254,5,FALSE))),"",VLOOKUP($Y$7&amp;$AB13&amp;$Z13,'Age data'!$A$3:$AE$254,5,FALSE))</f>
        <v>0.10974953902888752</v>
      </c>
      <c r="AD13" s="20">
        <f>IF(OR(ISERROR(VLOOKUP($Y$7&amp;$AB13&amp;$Z13,'Age data'!$A$3:$AE$254,6,FALSE)),ISBLANK(VLOOKUP($Y$7&amp;$AB13&amp;$Z13,'Age data'!$A$3:$AE$254,6,FALSE))),"",VLOOKUP($Y$7&amp;$AB13&amp;$Z13,'Age data'!$A$3:$AE$254,6,FALSE))</f>
        <v>2.1204671173939767E-2</v>
      </c>
      <c r="AE13" s="20">
        <f>IF(OR(ISERROR(VLOOKUP($Y$7&amp;$AB13&amp;$Z13,'Age data'!$A$3:$AE$254,7,FALSE)),ISBLANK(VLOOKUP($Y$7&amp;$AB13&amp;$Z13,'Age data'!$A$3:$AE$254,7,FALSE))),"",VLOOKUP($Y$7&amp;$AB13&amp;$Z13,'Age data'!$A$3:$AE$254,7,FALSE))</f>
        <v>1.4213275968039335E-2</v>
      </c>
      <c r="AF13" s="20">
        <f>IF(OR(ISERROR(VLOOKUP($Y$7&amp;$AB13&amp;$Z13,'Age data'!$A$3:$AE$254,8,FALSE)),ISBLANK(VLOOKUP($Y$7&amp;$AB13&amp;$Z13,'Age data'!$A$3:$AE$254,8,FALSE))),"",VLOOKUP($Y$7&amp;$AB13&amp;$Z13,'Age data'!$A$3:$AE$254,8,FALSE))</f>
        <v>0.11620313460356484</v>
      </c>
      <c r="AG13" s="20">
        <f>IF(OR(ISERROR(VLOOKUP($Y$7&amp;$AB13&amp;$Z13,'Age data'!$A$3:$AE$254,9,FALSE)),ISBLANK(VLOOKUP($Y$7&amp;$AB13&amp;$Z13,'Age data'!$A$3:$AE$254,9,FALSE))),"",VLOOKUP($Y$7&amp;$AB13&amp;$Z13,'Age data'!$A$3:$AE$254,9,FALSE))</f>
        <v>0.18073909035033806</v>
      </c>
      <c r="AH13" s="20">
        <f>IF(OR(ISERROR(VLOOKUP($Y$7&amp;$AB13&amp;$Z13,'Age data'!$A$3:$AE$254,10,FALSE)),ISBLANK(VLOOKUP($Y$7&amp;$AB13&amp;$Z13,'Age data'!$A$3:$AE$254,10,FALSE))),"",VLOOKUP($Y$7&amp;$AB13&amp;$Z13,'Age data'!$A$3:$AE$254,10,FALSE))</f>
        <v>2.1704056545789798E-2</v>
      </c>
      <c r="AI13" s="20">
        <f>IF(OR(ISERROR(VLOOKUP($Y$7&amp;$AB13&amp;$Z13,'Age data'!$A$3:$AE$254,11,FALSE)),ISBLANK(VLOOKUP($Y$7&amp;$AB13&amp;$Z13,'Age data'!$A$3:$AE$254,11,FALSE))),"",VLOOKUP($Y$7&amp;$AB13&amp;$Z13,'Age data'!$A$3:$AE$254,11,FALSE))</f>
        <v>3.5494775660725258E-2</v>
      </c>
      <c r="AJ13" s="20">
        <f>IF(OR(ISERROR(VLOOKUP($Y$7&amp;$AB13&amp;$Z13,'Age data'!$A$3:$AE$254,12,FALSE)),ISBLANK(VLOOKUP($Y$7&amp;$AB13&amp;$Z13,'Age data'!$A$3:$AE$254,12,FALSE))),"",VLOOKUP($Y$7&amp;$AB13&amp;$Z13,'Age data'!$A$3:$AE$254,12,FALSE))</f>
        <v>0.5006914566687154</v>
      </c>
      <c r="AK13" s="62"/>
    </row>
    <row r="14" spans="1:51" ht="15.75" x14ac:dyDescent="0.25">
      <c r="B14" s="55"/>
      <c r="D14" s="127"/>
      <c r="E14" s="14" t="s">
        <v>10</v>
      </c>
      <c r="F14" s="85">
        <f>IF(OR(ISERROR(VLOOKUP($D$6&amp;$D$8&amp;$E14,'Age data'!$A$3:$AE$254,5,FALSE)),ISBLANK(VLOOKUP($D$6&amp;$D$8&amp;$E14,'Age data'!$A$3:$AE$254,5,FALSE))),"",VLOOKUP($D$6&amp;$D$8&amp;$E14,'Age data'!$A$3:$AE$254,5,FALSE))</f>
        <v>0.19570617459190914</v>
      </c>
      <c r="G14" s="85"/>
      <c r="H14" s="85">
        <f>IF(OR(ISERROR(VLOOKUP($D$6&amp;$D$8&amp;$E14,'Age data'!$A$3:$AE$254,8,FALSE)),ISBLANK(VLOOKUP($D$6&amp;$D$8&amp;$E14,'Age data'!$A$3:$AE$254,8,FALSE))),"",VLOOKUP($D$6&amp;$D$8&amp;$E14,'Age data'!$A$3:$AE$254,8,FALSE))</f>
        <v>2.0759403832505324E-2</v>
      </c>
      <c r="I14" s="85"/>
      <c r="J14" s="85">
        <f>IF(OR(ISERROR(VLOOKUP($D$6&amp;$D$8&amp;$E14,'Age data'!$A$3:$AE$254,9,FALSE)),ISBLANK(VLOOKUP($D$6&amp;$D$8&amp;$E14,'Age data'!$A$3:$AE$254,9,FALSE))),"",VLOOKUP($D$6&amp;$D$8&amp;$E14,'Age data'!$A$3:$AE$254,9,FALSE))</f>
        <v>0.65134847409510288</v>
      </c>
      <c r="K14" s="85"/>
      <c r="L14" s="85">
        <f>IF(OR(ISERROR(VLOOKUP($D$6&amp;$D$8&amp;$E14,'Age data'!$A$3:$AE$254,7,FALSE)),ISBLANK(VLOOKUP($D$6&amp;$D$8&amp;$E14,'Age data'!$A$3:$AE$254,7,FALSE))),"",VLOOKUP($D$6&amp;$D$8&amp;$E14,'Age data'!$A$3:$AE$254,7,FALSE))</f>
        <v>7.9843860894251249E-3</v>
      </c>
      <c r="M14" s="85"/>
      <c r="N14" s="85">
        <f>IF(OR(ISERROR(VLOOKUP($D$6&amp;$D$8&amp;$E14,'Age data'!$A$3:$AE$254,6,FALSE)),ISBLANK(VLOOKUP($D$6&amp;$D$8&amp;$E14,'Age data'!$A$3:$AE$254,6,FALSE))),"",VLOOKUP($D$6&amp;$D$8&amp;$E14,'Age data'!$A$3:$AE$254,6,FALSE))</f>
        <v>1.9517388218594747E-3</v>
      </c>
      <c r="O14" s="85"/>
      <c r="P14" s="85">
        <f>IF(OR(ISERROR(VLOOKUP($D$6&amp;$D$8&amp;$E14,'Age data'!$A$3:$AE$254,10,FALSE)),ISBLANK(VLOOKUP($D$6&amp;$D$8&amp;$E14,'Age data'!$A$3:$AE$254,10,FALSE))),"",VLOOKUP($D$6&amp;$D$8&amp;$E14,'Age data'!$A$3:$AE$254,10,FALSE))</f>
        <v>1.4194464158977999E-3</v>
      </c>
      <c r="Q14" s="85"/>
      <c r="R14" s="85">
        <f>IF(OR(ISERROR(VLOOKUP($D$6&amp;$D$8&amp;$E14,'Age data'!$A$3:$AE$254,12,FALSE)),ISBLANK(VLOOKUP($D$6&amp;$D$8&amp;$E14,'Age data'!$A$3:$AE$254,12,FALSE))),"",VLOOKUP($D$6&amp;$D$8&amp;$E14,'Age data'!$A$3:$AE$254,12,FALSE))</f>
        <v>9.4748048261178136E-2</v>
      </c>
      <c r="S14" s="85"/>
      <c r="T14" s="85">
        <f>IF(OR(ISERROR(VLOOKUP($D$6&amp;$D$8&amp;$E14,'Age data'!$A$3:$AE$254,11,FALSE)),ISBLANK(VLOOKUP($D$6&amp;$D$8&amp;$E14,'Age data'!$A$3:$AE$254,11,FALSE))),"",VLOOKUP($D$6&amp;$D$8&amp;$E14,'Age data'!$A$3:$AE$254,11,FALSE))</f>
        <v>2.6082327892122073E-2</v>
      </c>
      <c r="U14" s="85"/>
      <c r="V14" s="86">
        <f>SUM(F14,N14,L14,H14,J14,P14,T14,R14)</f>
        <v>0.99999999999999989</v>
      </c>
      <c r="W14" s="83">
        <f>IF(OR(ISERROR(VLOOKUP($D$6&amp;$D$8&amp;$E14,'Age data'!$A$3:$AE$254,14,FALSE)),ISBLANK(VLOOKUP($D$6&amp;$D$8&amp;$E14,'Age data'!$A$3:$AE$254,14,FALSE))),"",VLOOKUP($D$6&amp;$D$8&amp;$E14,'Age data'!$A$3:$AE$254,14,FALSE))</f>
        <v>5636</v>
      </c>
      <c r="Y14" s="25"/>
      <c r="Z14" s="25"/>
      <c r="AA14" s="63"/>
      <c r="AB14" s="25"/>
      <c r="AC14" s="20"/>
      <c r="AD14" s="20"/>
      <c r="AE14" s="20"/>
      <c r="AF14" s="20"/>
      <c r="AG14" s="20"/>
      <c r="AH14" s="20"/>
      <c r="AI14" s="20"/>
      <c r="AJ14" s="20"/>
      <c r="AK14" s="62"/>
    </row>
    <row r="15" spans="1:51" ht="15.75" customHeight="1" thickBot="1" x14ac:dyDescent="0.3">
      <c r="D15" s="127"/>
      <c r="E15" s="9" t="s">
        <v>6</v>
      </c>
      <c r="F15" s="10">
        <f>IF(F14="","",VLOOKUP($D$6&amp;$D$8&amp;$E14,'Age data'!$A$3:$AE$254,16,FALSE))</f>
        <v>0.186</v>
      </c>
      <c r="G15" s="10">
        <f>IF(F14="","",VLOOKUP($D$6&amp;$D$8&amp;$E14,'Age data'!$A$3:$AE$254,17,FALSE))</f>
        <v>0.20599999999999999</v>
      </c>
      <c r="H15" s="10">
        <f>IF(H14="","",VLOOKUP($D$6&amp;$D$8&amp;$E14,'Age data'!$A$3:$AE$254,22,FALSE))</f>
        <v>1.7000000000000001E-2</v>
      </c>
      <c r="I15" s="10">
        <f>IF(H14="","",VLOOKUP($D$6&amp;$D$8&amp;$E14,'Age data'!$A$3:$AE$254,23,FALSE))</f>
        <v>2.5000000000000001E-2</v>
      </c>
      <c r="J15" s="10">
        <f>IF(J14="","",VLOOKUP($D$6&amp;$D$8&amp;$E14,'Age data'!$A$3:$AE$254,24,FALSE))</f>
        <v>0.63900000000000001</v>
      </c>
      <c r="K15" s="10">
        <f>IF(J14="","",VLOOKUP($D$6&amp;$D$8&amp;$E14,'Age data'!$A$3:$AE$254,25,FALSE))</f>
        <v>0.66400000000000003</v>
      </c>
      <c r="L15" s="10">
        <f>IF(L14="","",VLOOKUP($D$6&amp;$D$8&amp;$E14,'Age data'!$A$3:$AE$254,20,FALSE))</f>
        <v>6.0000000000000001E-3</v>
      </c>
      <c r="M15" s="10">
        <f>IF(L14="","",VLOOKUP($D$6&amp;$D$8&amp;$E14,'Age data'!$A$3:$AE$254,21,FALSE))</f>
        <v>1.0999999999999999E-2</v>
      </c>
      <c r="N15" s="10">
        <f>IF(N14="","",VLOOKUP($D$6&amp;$D$8&amp;$E14,'Age data'!$A$3:$AE$254,18,FALSE))</f>
        <v>1E-3</v>
      </c>
      <c r="O15" s="10">
        <f>IF(N14="","",VLOOKUP($D$6&amp;$D$8&amp;$E14,'Age data'!$A$3:$AE$254,19,FALSE))</f>
        <v>3.0000000000000001E-3</v>
      </c>
      <c r="P15" s="10">
        <f>IF(P14="","",VLOOKUP($D$6&amp;$D$8&amp;$E14,'Age data'!$A$3:$AE$254,26,FALSE))</f>
        <v>1E-3</v>
      </c>
      <c r="Q15" s="10">
        <f>IF(P14="","",VLOOKUP($D$6&amp;$D$8&amp;$E14,'Age data'!$A$3:$AE$254,27,FALSE))</f>
        <v>3.0000000000000001E-3</v>
      </c>
      <c r="R15" s="10">
        <f>IF(R14="","",VLOOKUP($D$6&amp;$D$8&amp;$E14,'Age data'!$A$3:$AE$254,30,FALSE))</f>
        <v>8.6999999999999994E-2</v>
      </c>
      <c r="S15" s="10">
        <f>IF(R14="","",VLOOKUP($D$6&amp;$D$8&amp;$E14,'Age data'!$A$3:$AE$254,31,FALSE))</f>
        <v>0.10299999999999999</v>
      </c>
      <c r="T15" s="10">
        <f>IF(T14="","",VLOOKUP($D$6&amp;$D$8&amp;$E14,'Age data'!$A$3:$AE$254,28,FALSE))</f>
        <v>2.1999999999999999E-2</v>
      </c>
      <c r="U15" s="10">
        <f>IF(T14="","",VLOOKUP($D$6&amp;$D$8&amp;$E14,'Age data'!$A$3:$AE$254,29,FALSE))</f>
        <v>3.1E-2</v>
      </c>
      <c r="V15" s="87"/>
      <c r="W15" s="84"/>
      <c r="Y15" s="25"/>
      <c r="Z15" s="25" t="s">
        <v>8</v>
      </c>
      <c r="AA15" s="125" t="s">
        <v>8</v>
      </c>
      <c r="AB15" s="25" t="s">
        <v>0</v>
      </c>
      <c r="AC15" s="20">
        <f>IF(OR(ISERROR(VLOOKUP($Y$7&amp;$AB15&amp;$Z15,'Age data'!$A$3:$AE$254,5,FALSE)),ISBLANK(VLOOKUP($Y$7&amp;$AB15&amp;$Z15,'Age data'!$A$3:$AE$254,5,FALSE))),"",VLOOKUP($Y$7&amp;$AB15&amp;$Z15,'Age data'!$A$3:$AE$254,5,FALSE))</f>
        <v>0.12891274761832755</v>
      </c>
      <c r="AD15" s="20">
        <f>IF(OR(ISERROR(VLOOKUP($Y$7&amp;$AB15&amp;$Z15,'Age data'!$A$3:$AE$254,6,FALSE)),ISBLANK(VLOOKUP($Y$7&amp;$AB15&amp;$Z15,'Age data'!$A$3:$AE$254,6,FALSE))),"",VLOOKUP($Y$7&amp;$AB15&amp;$Z15,'Age data'!$A$3:$AE$254,6,FALSE))</f>
        <v>3.8560411311053984E-3</v>
      </c>
      <c r="AE15" s="20">
        <f>IF(OR(ISERROR(VLOOKUP($Y$7&amp;$AB15&amp;$Z15,'Age data'!$A$3:$AE$254,7,FALSE)),ISBLANK(VLOOKUP($Y$7&amp;$AB15&amp;$Z15,'Age data'!$A$3:$AE$254,7,FALSE))),"",VLOOKUP($Y$7&amp;$AB15&amp;$Z15,'Age data'!$A$3:$AE$254,7,FALSE))</f>
        <v>1.2021775291093301E-2</v>
      </c>
      <c r="AF15" s="20">
        <f>IF(OR(ISERROR(VLOOKUP($Y$7&amp;$AB15&amp;$Z15,'Age data'!$A$3:$AE$254,8,FALSE)),ISBLANK(VLOOKUP($Y$7&amp;$AB15&amp;$Z15,'Age data'!$A$3:$AE$254,8,FALSE))),"",VLOOKUP($Y$7&amp;$AB15&amp;$Z15,'Age data'!$A$3:$AE$254,8,FALSE))</f>
        <v>4.7709057916225615E-2</v>
      </c>
      <c r="AG15" s="20">
        <f>IF(OR(ISERROR(VLOOKUP($Y$7&amp;$AB15&amp;$Z15,'Age data'!$A$3:$AE$254,9,FALSE)),ISBLANK(VLOOKUP($Y$7&amp;$AB15&amp;$Z15,'Age data'!$A$3:$AE$254,9,FALSE))),"",VLOOKUP($Y$7&amp;$AB15&amp;$Z15,'Age data'!$A$3:$AE$254,9,FALSE))</f>
        <v>0.52653863601996065</v>
      </c>
      <c r="AH15" s="20">
        <f>IF(OR(ISERROR(VLOOKUP($Y$7&amp;$AB15&amp;$Z15,'Age data'!$A$3:$AE$254,10,FALSE)),ISBLANK(VLOOKUP($Y$7&amp;$AB15&amp;$Z15,'Age data'!$A$3:$AE$254,10,FALSE))),"",VLOOKUP($Y$7&amp;$AB15&amp;$Z15,'Age data'!$A$3:$AE$254,10,FALSE))</f>
        <v>4.7633449266596102E-3</v>
      </c>
      <c r="AI15" s="20">
        <f>IF(OR(ISERROR(VLOOKUP($Y$7&amp;$AB15&amp;$Z15,'Age data'!$A$3:$AE$254,11,FALSE)),ISBLANK(VLOOKUP($Y$7&amp;$AB15&amp;$Z15,'Age data'!$A$3:$AE$254,11,FALSE))),"",VLOOKUP($Y$7&amp;$AB15&amp;$Z15,'Age data'!$A$3:$AE$254,11,FALSE))</f>
        <v>2.003629215182217E-2</v>
      </c>
      <c r="AJ15" s="20">
        <f>IF(OR(ISERROR(VLOOKUP($Y$7&amp;$AB15&amp;$Z15,'Age data'!$A$3:$AE$254,12,FALSE)),ISBLANK(VLOOKUP($Y$7&amp;$AB15&amp;$Z15,'Age data'!$A$3:$AE$254,12,FALSE))),"",VLOOKUP($Y$7&amp;$AB15&amp;$Z15,'Age data'!$A$3:$AE$254,12,FALSE))</f>
        <v>0.25616210494480568</v>
      </c>
      <c r="AK15" s="62"/>
    </row>
    <row r="16" spans="1:51" ht="15.75" x14ac:dyDescent="0.25">
      <c r="B16" s="55" t="s">
        <v>72</v>
      </c>
      <c r="D16" s="127"/>
      <c r="E16" s="14" t="s">
        <v>11</v>
      </c>
      <c r="F16" s="85">
        <f>IF(OR(ISERROR(VLOOKUP($D$6&amp;$D$8&amp;$E16,'Age data'!$A$3:$AE$254,5,FALSE)),ISBLANK(VLOOKUP($D$6&amp;$D$8&amp;$E16,'Age data'!$A$3:$AE$254,5,FALSE))),"",VLOOKUP($D$6&amp;$D$8&amp;$E16,'Age data'!$A$3:$AE$254,5,FALSE))</f>
        <v>0.28117913832199548</v>
      </c>
      <c r="G16" s="85"/>
      <c r="H16" s="85">
        <f>IF(OR(ISERROR(VLOOKUP($D$6&amp;$D$8&amp;$E16,'Age data'!$A$3:$AE$254,8,FALSE)),ISBLANK(VLOOKUP($D$6&amp;$D$8&amp;$E16,'Age data'!$A$3:$AE$254,8,FALSE))),"",VLOOKUP($D$6&amp;$D$8&amp;$E16,'Age data'!$A$3:$AE$254,8,FALSE))</f>
        <v>1.1337868480725623E-2</v>
      </c>
      <c r="I16" s="85"/>
      <c r="J16" s="85">
        <f>IF(OR(ISERROR(VLOOKUP($D$6&amp;$D$8&amp;$E16,'Age data'!$A$3:$AE$254,9,FALSE)),ISBLANK(VLOOKUP($D$6&amp;$D$8&amp;$E16,'Age data'!$A$3:$AE$254,9,FALSE))),"",VLOOKUP($D$6&amp;$D$8&amp;$E16,'Age data'!$A$3:$AE$254,9,FALSE))</f>
        <v>0.60317460317460314</v>
      </c>
      <c r="K16" s="85"/>
      <c r="L16" s="85">
        <f>IF(OR(ISERROR(VLOOKUP($D$6&amp;$D$8&amp;$E16,'Age data'!$A$3:$AE$254,7,FALSE)),ISBLANK(VLOOKUP($D$6&amp;$D$8&amp;$E16,'Age data'!$A$3:$AE$254,7,FALSE))),"",VLOOKUP($D$6&amp;$D$8&amp;$E16,'Age data'!$A$3:$AE$254,7,FALSE))</f>
        <v>9.0702947845804991E-3</v>
      </c>
      <c r="M16" s="85"/>
      <c r="N16" s="85">
        <f>IF(OR(ISERROR(VLOOKUP($D$6&amp;$D$8&amp;$E16,'Age data'!$A$3:$AE$254,6,FALSE)),ISBLANK(VLOOKUP($D$6&amp;$D$8&amp;$E16,'Age data'!$A$3:$AE$254,6,FALSE))),"",VLOOKUP($D$6&amp;$D$8&amp;$E16,'Age data'!$A$3:$AE$254,6,FALSE))</f>
        <v>0</v>
      </c>
      <c r="O16" s="85"/>
      <c r="P16" s="85">
        <f>IF(OR(ISERROR(VLOOKUP($D$6&amp;$D$8&amp;$E16,'Age data'!$A$3:$AE$254,10,FALSE)),ISBLANK(VLOOKUP($D$6&amp;$D$8&amp;$E16,'Age data'!$A$3:$AE$254,10,FALSE))),"",VLOOKUP($D$6&amp;$D$8&amp;$E16,'Age data'!$A$3:$AE$254,10,FALSE))</f>
        <v>0</v>
      </c>
      <c r="Q16" s="85"/>
      <c r="R16" s="85">
        <f>IF(OR(ISERROR(VLOOKUP($D$6&amp;$D$8&amp;$E16,'Age data'!$A$3:$AE$254,12,FALSE)),ISBLANK(VLOOKUP($D$6&amp;$D$8&amp;$E16,'Age data'!$A$3:$AE$254,12,FALSE))),"",VLOOKUP($D$6&amp;$D$8&amp;$E16,'Age data'!$A$3:$AE$254,12,FALSE))</f>
        <v>2.2675736961451247E-2</v>
      </c>
      <c r="S16" s="85"/>
      <c r="T16" s="85">
        <f>IF(OR(ISERROR(VLOOKUP($D$6&amp;$D$8&amp;$E16,'Age data'!$A$3:$AE$254,11,FALSE)),ISBLANK(VLOOKUP($D$6&amp;$D$8&amp;$E16,'Age data'!$A$3:$AE$254,11,FALSE))),"",VLOOKUP($D$6&amp;$D$8&amp;$E16,'Age data'!$A$3:$AE$254,11,FALSE))</f>
        <v>7.2562358276643993E-2</v>
      </c>
      <c r="U16" s="85"/>
      <c r="V16" s="86">
        <f>SUM(F16,N16,L16,H16,J16,P16,T16,R16)</f>
        <v>0.99999999999999989</v>
      </c>
      <c r="W16" s="83">
        <f>IF(OR(ISERROR(VLOOKUP($D$6&amp;$D$8&amp;$E16,'Age data'!$A$3:$AE$254,14,FALSE)),ISBLANK(VLOOKUP($D$6&amp;$D$8&amp;$E16,'Age data'!$A$3:$AE$254,14,FALSE))),"",VLOOKUP($D$6&amp;$D$8&amp;$E16,'Age data'!$A$3:$AE$254,14,FALSE))</f>
        <v>441</v>
      </c>
      <c r="Y16" s="25"/>
      <c r="Z16" s="25" t="s">
        <v>8</v>
      </c>
      <c r="AA16" s="125"/>
      <c r="AB16" s="25" t="s">
        <v>1</v>
      </c>
      <c r="AC16" s="20">
        <f>IF(OR(ISERROR(VLOOKUP($Y$7&amp;$AB16&amp;$Z16,'Age data'!$A$3:$AE$254,5,FALSE)),ISBLANK(VLOOKUP($Y$7&amp;$AB16&amp;$Z16,'Age data'!$A$3:$AE$254,5,FALSE))),"",VLOOKUP($Y$7&amp;$AB16&amp;$Z16,'Age data'!$A$3:$AE$254,5,FALSE))</f>
        <v>8.8888888888888892E-2</v>
      </c>
      <c r="AD16" s="20">
        <f>IF(OR(ISERROR(VLOOKUP($Y$7&amp;$AB16&amp;$Z16,'Age data'!$A$3:$AE$254,6,FALSE)),ISBLANK(VLOOKUP($Y$7&amp;$AB16&amp;$Z16,'Age data'!$A$3:$AE$254,6,FALSE))),"",VLOOKUP($Y$7&amp;$AB16&amp;$Z16,'Age data'!$A$3:$AE$254,6,FALSE))</f>
        <v>1.9587176108915239E-2</v>
      </c>
      <c r="AE16" s="20">
        <f>IF(OR(ISERROR(VLOOKUP($Y$7&amp;$AB16&amp;$Z16,'Age data'!$A$3:$AE$254,7,FALSE)),ISBLANK(VLOOKUP($Y$7&amp;$AB16&amp;$Z16,'Age data'!$A$3:$AE$254,7,FALSE))),"",VLOOKUP($Y$7&amp;$AB16&amp;$Z16,'Age data'!$A$3:$AE$254,7,FALSE))</f>
        <v>5.3579270970575315E-3</v>
      </c>
      <c r="AF16" s="20">
        <f>IF(OR(ISERROR(VLOOKUP($Y$7&amp;$AB16&amp;$Z16,'Age data'!$A$3:$AE$254,8,FALSE)),ISBLANK(VLOOKUP($Y$7&amp;$AB16&amp;$Z16,'Age data'!$A$3:$AE$254,8,FALSE))),"",VLOOKUP($Y$7&amp;$AB16&amp;$Z16,'Age data'!$A$3:$AE$254,8,FALSE))</f>
        <v>9.9868247694334653E-2</v>
      </c>
      <c r="AG16" s="20">
        <f>IF(OR(ISERROR(VLOOKUP($Y$7&amp;$AB16&amp;$Z16,'Age data'!$A$3:$AE$254,9,FALSE)),ISBLANK(VLOOKUP($Y$7&amp;$AB16&amp;$Z16,'Age data'!$A$3:$AE$254,9,FALSE))),"",VLOOKUP($Y$7&amp;$AB16&amp;$Z16,'Age data'!$A$3:$AE$254,9,FALSE))</f>
        <v>0.22880983750548967</v>
      </c>
      <c r="AH16" s="20">
        <f>IF(OR(ISERROR(VLOOKUP($Y$7&amp;$AB16&amp;$Z16,'Age data'!$A$3:$AE$254,10,FALSE)),ISBLANK(VLOOKUP($Y$7&amp;$AB16&amp;$Z16,'Age data'!$A$3:$AE$254,10,FALSE))),"",VLOOKUP($Y$7&amp;$AB16&amp;$Z16,'Age data'!$A$3:$AE$254,10,FALSE))</f>
        <v>1.6952129995608255E-2</v>
      </c>
      <c r="AI16" s="20">
        <f>IF(OR(ISERROR(VLOOKUP($Y$7&amp;$AB16&amp;$Z16,'Age data'!$A$3:$AE$254,11,FALSE)),ISBLANK(VLOOKUP($Y$7&amp;$AB16&amp;$Z16,'Age data'!$A$3:$AE$254,11,FALSE))),"",VLOOKUP($Y$7&amp;$AB16&amp;$Z16,'Age data'!$A$3:$AE$254,11,FALSE))</f>
        <v>1.5458937198067632E-2</v>
      </c>
      <c r="AJ16" s="20">
        <f>IF(OR(ISERROR(VLOOKUP($Y$7&amp;$AB16&amp;$Z16,'Age data'!$A$3:$AE$254,12,FALSE)),ISBLANK(VLOOKUP($Y$7&amp;$AB16&amp;$Z16,'Age data'!$A$3:$AE$254,12,FALSE))),"",VLOOKUP($Y$7&amp;$AB16&amp;$Z16,'Age data'!$A$3:$AE$254,12,FALSE))</f>
        <v>0.52507685551163807</v>
      </c>
      <c r="AK16" s="62"/>
    </row>
    <row r="17" spans="4:37" ht="15.75" thickBot="1" x14ac:dyDescent="0.3">
      <c r="D17" s="127"/>
      <c r="E17" s="9" t="s">
        <v>6</v>
      </c>
      <c r="F17" s="10">
        <f>IF(F16="","",VLOOKUP($D$6&amp;$D$8&amp;$E16,'Age data'!$A$3:$AE$254,16,FALSE))</f>
        <v>0.24099999999999999</v>
      </c>
      <c r="G17" s="10">
        <f>IF(F16="","",VLOOKUP($D$6&amp;$D$8&amp;$E16,'Age data'!$A$3:$AE$254,17,FALSE))</f>
        <v>0.32500000000000001</v>
      </c>
      <c r="H17" s="10">
        <f>IF(H16="","",VLOOKUP($D$6&amp;$D$8&amp;$E16,'Age data'!$A$3:$AE$254,22,FALSE))</f>
        <v>5.0000000000000001E-3</v>
      </c>
      <c r="I17" s="10">
        <f>IF(H16="","",VLOOKUP($D$6&amp;$D$8&amp;$E16,'Age data'!$A$3:$AE$254,23,FALSE))</f>
        <v>2.5999999999999999E-2</v>
      </c>
      <c r="J17" s="10">
        <f>IF(J16="","",VLOOKUP($D$6&amp;$D$8&amp;$E16,'Age data'!$A$3:$AE$254,24,FALSE))</f>
        <v>0.55700000000000005</v>
      </c>
      <c r="K17" s="10">
        <f>IF(J16="","",VLOOKUP($D$6&amp;$D$8&amp;$E16,'Age data'!$A$3:$AE$254,25,FALSE))</f>
        <v>0.64800000000000002</v>
      </c>
      <c r="L17" s="10">
        <f>IF(L16="","",VLOOKUP($D$6&amp;$D$8&amp;$E16,'Age data'!$A$3:$AE$254,20,FALSE))</f>
        <v>4.0000000000000001E-3</v>
      </c>
      <c r="M17" s="10">
        <f>IF(L16="","",VLOOKUP($D$6&amp;$D$8&amp;$E16,'Age data'!$A$3:$AE$254,21,FALSE))</f>
        <v>2.3E-2</v>
      </c>
      <c r="N17" s="10">
        <f>IF(N16="","",VLOOKUP($D$6&amp;$D$8&amp;$E16,'Age data'!$A$3:$AE$254,18,FALSE))</f>
        <v>0</v>
      </c>
      <c r="O17" s="10">
        <f>IF(N16="","",VLOOKUP($D$6&amp;$D$8&amp;$E16,'Age data'!$A$3:$AE$254,19,FALSE))</f>
        <v>8.9999999999999993E-3</v>
      </c>
      <c r="P17" s="10">
        <f>IF(P16="","",VLOOKUP($D$6&amp;$D$8&amp;$E16,'Age data'!$A$3:$AE$254,26,FALSE))</f>
        <v>0</v>
      </c>
      <c r="Q17" s="10">
        <f>IF(P16="","",VLOOKUP($D$6&amp;$D$8&amp;$E16,'Age data'!$A$3:$AE$254,27,FALSE))</f>
        <v>8.9999999999999993E-3</v>
      </c>
      <c r="R17" s="10">
        <f>IF(R16="","",VLOOKUP($D$6&amp;$D$8&amp;$E16,'Age data'!$A$3:$AE$254,30,FALSE))</f>
        <v>1.2E-2</v>
      </c>
      <c r="S17" s="10">
        <f>IF(R16="","",VLOOKUP($D$6&amp;$D$8&amp;$E16,'Age data'!$A$3:$AE$254,31,FALSE))</f>
        <v>4.1000000000000002E-2</v>
      </c>
      <c r="T17" s="10">
        <f>IF(T16="","",VLOOKUP($D$6&amp;$D$8&amp;$E16,'Age data'!$A$3:$AE$254,28,FALSE))</f>
        <v>5.1999999999999998E-2</v>
      </c>
      <c r="U17" s="10">
        <f>IF(T16="","",VLOOKUP($D$6&amp;$D$8&amp;$E16,'Age data'!$A$3:$AE$254,29,FALSE))</f>
        <v>0.10100000000000001</v>
      </c>
      <c r="V17" s="87"/>
      <c r="W17" s="84"/>
      <c r="Y17" s="25"/>
      <c r="Z17" s="25" t="s">
        <v>8</v>
      </c>
      <c r="AA17" s="125"/>
      <c r="AB17" s="25" t="s">
        <v>2</v>
      </c>
      <c r="AC17" s="20">
        <f>IF(OR(ISERROR(VLOOKUP($Y$7&amp;$AB17&amp;$Z17,'Age data'!$A$3:$AE$254,5,FALSE)),ISBLANK(VLOOKUP($Y$7&amp;$AB17&amp;$Z17,'Age data'!$A$3:$AE$254,5,FALSE))),"",VLOOKUP($Y$7&amp;$AB17&amp;$Z17,'Age data'!$A$3:$AE$254,5,FALSE))</f>
        <v>0.20932317346481399</v>
      </c>
      <c r="AD17" s="20">
        <f>IF(OR(ISERROR(VLOOKUP($Y$7&amp;$AB17&amp;$Z17,'Age data'!$A$3:$AE$254,6,FALSE)),ISBLANK(VLOOKUP($Y$7&amp;$AB17&amp;$Z17,'Age data'!$A$3:$AE$254,6,FALSE))),"",VLOOKUP($Y$7&amp;$AB17&amp;$Z17,'Age data'!$A$3:$AE$254,6,FALSE))</f>
        <v>4.1237113402061855E-2</v>
      </c>
      <c r="AE17" s="20">
        <f>IF(OR(ISERROR(VLOOKUP($Y$7&amp;$AB17&amp;$Z17,'Age data'!$A$3:$AE$254,7,FALSE)),ISBLANK(VLOOKUP($Y$7&amp;$AB17&amp;$Z17,'Age data'!$A$3:$AE$254,7,FALSE))),"",VLOOKUP($Y$7&amp;$AB17&amp;$Z17,'Age data'!$A$3:$AE$254,7,FALSE))</f>
        <v>4.5719408337068577E-2</v>
      </c>
      <c r="AF17" s="20">
        <f>IF(OR(ISERROR(VLOOKUP($Y$7&amp;$AB17&amp;$Z17,'Age data'!$A$3:$AE$254,8,FALSE)),ISBLANK(VLOOKUP($Y$7&amp;$AB17&amp;$Z17,'Age data'!$A$3:$AE$254,8,FALSE))),"",VLOOKUP($Y$7&amp;$AB17&amp;$Z17,'Age data'!$A$3:$AE$254,8,FALSE))</f>
        <v>8.9645898700134466E-2</v>
      </c>
      <c r="AG17" s="20">
        <f>IF(OR(ISERROR(VLOOKUP($Y$7&amp;$AB17&amp;$Z17,'Age data'!$A$3:$AE$254,9,FALSE)),ISBLANK(VLOOKUP($Y$7&amp;$AB17&amp;$Z17,'Age data'!$A$3:$AE$254,9,FALSE))),"",VLOOKUP($Y$7&amp;$AB17&amp;$Z17,'Age data'!$A$3:$AE$254,9,FALSE))</f>
        <v>0.21604661586732407</v>
      </c>
      <c r="AH17" s="20">
        <f>IF(OR(ISERROR(VLOOKUP($Y$7&amp;$AB17&amp;$Z17,'Age data'!$A$3:$AE$254,10,FALSE)),ISBLANK(VLOOKUP($Y$7&amp;$AB17&amp;$Z17,'Age data'!$A$3:$AE$254,10,FALSE))),"",VLOOKUP($Y$7&amp;$AB17&amp;$Z17,'Age data'!$A$3:$AE$254,10,FALSE))</f>
        <v>3.7651277454056477E-2</v>
      </c>
      <c r="AI17" s="20">
        <f>IF(OR(ISERROR(VLOOKUP($Y$7&amp;$AB17&amp;$Z17,'Age data'!$A$3:$AE$254,11,FALSE)),ISBLANK(VLOOKUP($Y$7&amp;$AB17&amp;$Z17,'Age data'!$A$3:$AE$254,11,FALSE))),"",VLOOKUP($Y$7&amp;$AB17&amp;$Z17,'Age data'!$A$3:$AE$254,11,FALSE))</f>
        <v>0.1214701927386822</v>
      </c>
      <c r="AJ17" s="20">
        <f>IF(OR(ISERROR(VLOOKUP($Y$7&amp;$AB17&amp;$Z17,'Age data'!$A$3:$AE$254,12,FALSE)),ISBLANK(VLOOKUP($Y$7&amp;$AB17&amp;$Z17,'Age data'!$A$3:$AE$254,12,FALSE))),"",VLOOKUP($Y$7&amp;$AB17&amp;$Z17,'Age data'!$A$3:$AE$254,12,FALSE))</f>
        <v>0.23890632003585835</v>
      </c>
      <c r="AK17" s="62"/>
    </row>
    <row r="18" spans="4:37" ht="15.75" x14ac:dyDescent="0.25">
      <c r="D18" s="127"/>
      <c r="E18" s="14" t="s">
        <v>12</v>
      </c>
      <c r="F18" s="85">
        <f>IF(OR(ISERROR(VLOOKUP($D$6&amp;$D$8&amp;$E18,'Age data'!$A$3:$AE$254,5,FALSE)),ISBLANK(VLOOKUP($D$6&amp;$D$8&amp;$E18,'Age data'!$A$3:$AE$254,5,FALSE))),"",VLOOKUP($D$6&amp;$D$8&amp;$E18,'Age data'!$A$3:$AE$254,5,FALSE))</f>
        <v>0.33333333333333331</v>
      </c>
      <c r="G18" s="85"/>
      <c r="H18" s="85">
        <f>IF(OR(ISERROR(VLOOKUP($D$6&amp;$D$8&amp;$E18,'Age data'!$A$3:$AE$254,8,FALSE)),ISBLANK(VLOOKUP($D$6&amp;$D$8&amp;$E18,'Age data'!$A$3:$AE$254,8,FALSE))),"",VLOOKUP($D$6&amp;$D$8&amp;$E18,'Age data'!$A$3:$AE$254,8,FALSE))</f>
        <v>1.1904761904761904E-2</v>
      </c>
      <c r="I18" s="85"/>
      <c r="J18" s="85">
        <f>IF(OR(ISERROR(VLOOKUP($D$6&amp;$D$8&amp;$E18,'Age data'!$A$3:$AE$254,9,FALSE)),ISBLANK(VLOOKUP($D$6&amp;$D$8&amp;$E18,'Age data'!$A$3:$AE$254,9,FALSE))),"",VLOOKUP($D$6&amp;$D$8&amp;$E18,'Age data'!$A$3:$AE$254,9,FALSE))</f>
        <v>0.30952380952380953</v>
      </c>
      <c r="K18" s="85"/>
      <c r="L18" s="85">
        <f>IF(OR(ISERROR(VLOOKUP($D$6&amp;$D$8&amp;$E18,'Age data'!$A$3:$AE$254,7,FALSE)),ISBLANK(VLOOKUP($D$6&amp;$D$8&amp;$E18,'Age data'!$A$3:$AE$254,7,FALSE))),"",VLOOKUP($D$6&amp;$D$8&amp;$E18,'Age data'!$A$3:$AE$254,7,FALSE))</f>
        <v>0</v>
      </c>
      <c r="M18" s="85"/>
      <c r="N18" s="85">
        <f>IF(OR(ISERROR(VLOOKUP($D$6&amp;$D$8&amp;$E18,'Age data'!$A$3:$AE$254,6,FALSE)),ISBLANK(VLOOKUP($D$6&amp;$D$8&amp;$E18,'Age data'!$A$3:$AE$254,6,FALSE))),"",VLOOKUP($D$6&amp;$D$8&amp;$E18,'Age data'!$A$3:$AE$254,6,FALSE))</f>
        <v>0</v>
      </c>
      <c r="O18" s="85"/>
      <c r="P18" s="85">
        <f>IF(OR(ISERROR(VLOOKUP($D$6&amp;$D$8&amp;$E18,'Age data'!$A$3:$AE$254,10,FALSE)),ISBLANK(VLOOKUP($D$6&amp;$D$8&amp;$E18,'Age data'!$A$3:$AE$254,10,FALSE))),"",VLOOKUP($D$6&amp;$D$8&amp;$E18,'Age data'!$A$3:$AE$254,10,FALSE))</f>
        <v>0</v>
      </c>
      <c r="Q18" s="85"/>
      <c r="R18" s="85">
        <f>IF(OR(ISERROR(VLOOKUP($D$6&amp;$D$8&amp;$E18,'Age data'!$A$3:$AE$254,12,FALSE)),ISBLANK(VLOOKUP($D$6&amp;$D$8&amp;$E18,'Age data'!$A$3:$AE$254,12,FALSE))),"",VLOOKUP($D$6&amp;$D$8&amp;$E18,'Age data'!$A$3:$AE$254,12,FALSE))</f>
        <v>0</v>
      </c>
      <c r="S18" s="85"/>
      <c r="T18" s="85">
        <f>IF(OR(ISERROR(VLOOKUP($D$6&amp;$D$8&amp;$E18,'Age data'!$A$3:$AE$254,11,FALSE)),ISBLANK(VLOOKUP($D$6&amp;$D$8&amp;$E18,'Age data'!$A$3:$AE$254,11,FALSE))),"",VLOOKUP($D$6&amp;$D$8&amp;$E18,'Age data'!$A$3:$AE$254,11,FALSE))</f>
        <v>0.34523809523809523</v>
      </c>
      <c r="U18" s="85"/>
      <c r="V18" s="86">
        <f>SUM(F18,N18,L18,H18,J18,P18,T18,R18)</f>
        <v>1</v>
      </c>
      <c r="W18" s="83">
        <f>IF(OR(ISERROR(VLOOKUP($D$6&amp;$D$8&amp;$E18,'Age data'!$A$3:$AE$254,14,FALSE)),ISBLANK(VLOOKUP($D$6&amp;$D$8&amp;$E18,'Age data'!$A$3:$AE$254,14,FALSE))),"",VLOOKUP($D$6&amp;$D$8&amp;$E18,'Age data'!$A$3:$AE$254,14,FALSE))</f>
        <v>84</v>
      </c>
      <c r="Y18" s="25"/>
      <c r="Z18" s="25" t="s">
        <v>8</v>
      </c>
      <c r="AA18" s="125"/>
      <c r="AB18" s="25" t="s">
        <v>32</v>
      </c>
      <c r="AC18" s="20">
        <f>IF(OR(ISERROR(VLOOKUP($Y$7&amp;$AB18&amp;$Z18,'Age data'!$A$3:$AE$254,5,FALSE)),ISBLANK(VLOOKUP($Y$7&amp;$AB18&amp;$Z18,'Age data'!$A$3:$AE$254,5,FALSE))),"",VLOOKUP($Y$7&amp;$AB18&amp;$Z18,'Age data'!$A$3:$AE$254,5,FALSE))</f>
        <v>0.2382716049382716</v>
      </c>
      <c r="AD18" s="20">
        <f>IF(OR(ISERROR(VLOOKUP($Y$7&amp;$AB18&amp;$Z18,'Age data'!$A$3:$AE$254,6,FALSE)),ISBLANK(VLOOKUP($Y$7&amp;$AB18&amp;$Z18,'Age data'!$A$3:$AE$254,6,FALSE))),"",VLOOKUP($Y$7&amp;$AB18&amp;$Z18,'Age data'!$A$3:$AE$254,6,FALSE))</f>
        <v>4.5679012345679011E-2</v>
      </c>
      <c r="AE18" s="20">
        <f>IF(OR(ISERROR(VLOOKUP($Y$7&amp;$AB18&amp;$Z18,'Age data'!$A$3:$AE$254,7,FALSE)),ISBLANK(VLOOKUP($Y$7&amp;$AB18&amp;$Z18,'Age data'!$A$3:$AE$254,7,FALSE))),"",VLOOKUP($Y$7&amp;$AB18&amp;$Z18,'Age data'!$A$3:$AE$254,7,FALSE))</f>
        <v>1.9753086419753086E-2</v>
      </c>
      <c r="AF18" s="20">
        <f>IF(OR(ISERROR(VLOOKUP($Y$7&amp;$AB18&amp;$Z18,'Age data'!$A$3:$AE$254,8,FALSE)),ISBLANK(VLOOKUP($Y$7&amp;$AB18&amp;$Z18,'Age data'!$A$3:$AE$254,8,FALSE))),"",VLOOKUP($Y$7&amp;$AB18&amp;$Z18,'Age data'!$A$3:$AE$254,8,FALSE))</f>
        <v>0.11851851851851852</v>
      </c>
      <c r="AG18" s="20">
        <f>IF(OR(ISERROR(VLOOKUP($Y$7&amp;$AB18&amp;$Z18,'Age data'!$A$3:$AE$254,9,FALSE)),ISBLANK(VLOOKUP($Y$7&amp;$AB18&amp;$Z18,'Age data'!$A$3:$AE$254,9,FALSE))),"",VLOOKUP($Y$7&amp;$AB18&amp;$Z18,'Age data'!$A$3:$AE$254,9,FALSE))</f>
        <v>0.26296296296296295</v>
      </c>
      <c r="AH18" s="20">
        <f>IF(OR(ISERROR(VLOOKUP($Y$7&amp;$AB18&amp;$Z18,'Age data'!$A$3:$AE$254,10,FALSE)),ISBLANK(VLOOKUP($Y$7&amp;$AB18&amp;$Z18,'Age data'!$A$3:$AE$254,10,FALSE))),"",VLOOKUP($Y$7&amp;$AB18&amp;$Z18,'Age data'!$A$3:$AE$254,10,FALSE))</f>
        <v>4.0740740740740744E-2</v>
      </c>
      <c r="AI18" s="20">
        <f>IF(OR(ISERROR(VLOOKUP($Y$7&amp;$AB18&amp;$Z18,'Age data'!$A$3:$AE$254,11,FALSE)),ISBLANK(VLOOKUP($Y$7&amp;$AB18&amp;$Z18,'Age data'!$A$3:$AE$254,11,FALSE))),"",VLOOKUP($Y$7&amp;$AB18&amp;$Z18,'Age data'!$A$3:$AE$254,11,FALSE))</f>
        <v>7.5308641975308649E-2</v>
      </c>
      <c r="AJ18" s="20">
        <f>IF(OR(ISERROR(VLOOKUP($Y$7&amp;$AB18&amp;$Z18,'Age data'!$A$3:$AE$254,12,FALSE)),ISBLANK(VLOOKUP($Y$7&amp;$AB18&amp;$Z18,'Age data'!$A$3:$AE$254,12,FALSE))),"",VLOOKUP($Y$7&amp;$AB18&amp;$Z18,'Age data'!$A$3:$AE$254,12,FALSE))</f>
        <v>0.19876543209876543</v>
      </c>
      <c r="AK18" s="62"/>
    </row>
    <row r="19" spans="4:37" ht="15.75" customHeight="1" thickBot="1" x14ac:dyDescent="0.3">
      <c r="D19" s="128"/>
      <c r="E19" s="9" t="s">
        <v>6</v>
      </c>
      <c r="F19" s="10">
        <f>IF(F18="","",VLOOKUP($D$6&amp;$D$8&amp;$E18,'Age data'!$A$3:$AE$254,16,FALSE))</f>
        <v>0.24199999999999999</v>
      </c>
      <c r="G19" s="10">
        <f>IF(F18="","",VLOOKUP($D$6&amp;$D$8&amp;$E18,'Age data'!$A$3:$AE$254,17,FALSE))</f>
        <v>0.439</v>
      </c>
      <c r="H19" s="10">
        <f>IF(H18="","",VLOOKUP($D$6&amp;$D$8&amp;$E18,'Age data'!$A$3:$AE$254,22,FALSE))</f>
        <v>2E-3</v>
      </c>
      <c r="I19" s="10">
        <f>IF(H18="","",VLOOKUP($D$6&amp;$D$8&amp;$E18,'Age data'!$A$3:$AE$254,23,FALSE))</f>
        <v>6.4000000000000001E-2</v>
      </c>
      <c r="J19" s="10">
        <f>IF(J18="","",VLOOKUP($D$6&amp;$D$8&amp;$E18,'Age data'!$A$3:$AE$254,24,FALSE))</f>
        <v>0.221</v>
      </c>
      <c r="K19" s="10">
        <f>IF(J18="","",VLOOKUP($D$6&amp;$D$8&amp;$E18,'Age data'!$A$3:$AE$254,25,FALSE))</f>
        <v>0.41499999999999998</v>
      </c>
      <c r="L19" s="10">
        <f>IF(L18="","",VLOOKUP($D$6&amp;$D$8&amp;$E18,'Age data'!$A$3:$AE$254,20,FALSE))</f>
        <v>0</v>
      </c>
      <c r="M19" s="10">
        <f>IF(L18="","",VLOOKUP($D$6&amp;$D$8&amp;$E18,'Age data'!$A$3:$AE$254,21,FALSE))</f>
        <v>4.3999999999999997E-2</v>
      </c>
      <c r="N19" s="10">
        <f>IF(N18="","",VLOOKUP($D$6&amp;$D$8&amp;$E18,'Age data'!$A$3:$AE$254,18,FALSE))</f>
        <v>0</v>
      </c>
      <c r="O19" s="10">
        <f>IF(N18="","",VLOOKUP($D$6&amp;$D$8&amp;$E18,'Age data'!$A$3:$AE$254,19,FALSE))</f>
        <v>4.3999999999999997E-2</v>
      </c>
      <c r="P19" s="10">
        <f>IF(P18="","",VLOOKUP($D$6&amp;$D$8&amp;$E18,'Age data'!$A$3:$AE$254,26,FALSE))</f>
        <v>0</v>
      </c>
      <c r="Q19" s="10">
        <f>IF(P18="","",VLOOKUP($D$6&amp;$D$8&amp;$E18,'Age data'!$A$3:$AE$254,27,FALSE))</f>
        <v>4.3999999999999997E-2</v>
      </c>
      <c r="R19" s="10">
        <f>IF(R18="","",VLOOKUP($D$6&amp;$D$8&amp;$E18,'Age data'!$A$3:$AE$254,30,FALSE))</f>
        <v>0</v>
      </c>
      <c r="S19" s="10">
        <f>IF(R18="","",VLOOKUP($D$6&amp;$D$8&amp;$E18,'Age data'!$A$3:$AE$254,31,FALSE))</f>
        <v>4.3999999999999997E-2</v>
      </c>
      <c r="T19" s="10">
        <f>IF(T18="","",VLOOKUP($D$6&amp;$D$8&amp;$E18,'Age data'!$A$3:$AE$254,28,FALSE))</f>
        <v>0.252</v>
      </c>
      <c r="U19" s="10">
        <f>IF(T18="","",VLOOKUP($D$6&amp;$D$8&amp;$E18,'Age data'!$A$3:$AE$254,29,FALSE))</f>
        <v>0.45200000000000001</v>
      </c>
      <c r="V19" s="87"/>
      <c r="W19" s="84"/>
      <c r="Y19" s="25"/>
      <c r="Z19" s="25" t="s">
        <v>8</v>
      </c>
      <c r="AA19" s="125"/>
      <c r="AB19" s="25" t="s">
        <v>3</v>
      </c>
      <c r="AC19" s="20">
        <f>IF(OR(ISERROR(VLOOKUP($Y$7&amp;$AB19&amp;$Z19,'Age data'!$A$3:$AE$254,5,FALSE)),ISBLANK(VLOOKUP($Y$7&amp;$AB19&amp;$Z19,'Age data'!$A$3:$AE$254,5,FALSE))),"",VLOOKUP($Y$7&amp;$AB19&amp;$Z19,'Age data'!$A$3:$AE$254,5,FALSE))</f>
        <v>6.765327695560254E-2</v>
      </c>
      <c r="AD19" s="20">
        <f>IF(OR(ISERROR(VLOOKUP($Y$7&amp;$AB19&amp;$Z19,'Age data'!$A$3:$AE$254,6,FALSE)),ISBLANK(VLOOKUP($Y$7&amp;$AB19&amp;$Z19,'Age data'!$A$3:$AE$254,6,FALSE))),"",VLOOKUP($Y$7&amp;$AB19&amp;$Z19,'Age data'!$A$3:$AE$254,6,FALSE))</f>
        <v>0.1226215644820296</v>
      </c>
      <c r="AE19" s="20">
        <f>IF(OR(ISERROR(VLOOKUP($Y$7&amp;$AB19&amp;$Z19,'Age data'!$A$3:$AE$254,7,FALSE)),ISBLANK(VLOOKUP($Y$7&amp;$AB19&amp;$Z19,'Age data'!$A$3:$AE$254,7,FALSE))),"",VLOOKUP($Y$7&amp;$AB19&amp;$Z19,'Age data'!$A$3:$AE$254,7,FALSE))</f>
        <v>8.0338266384778007E-2</v>
      </c>
      <c r="AF19" s="20">
        <f>IF(OR(ISERROR(VLOOKUP($Y$7&amp;$AB19&amp;$Z19,'Age data'!$A$3:$AE$254,8,FALSE)),ISBLANK(VLOOKUP($Y$7&amp;$AB19&amp;$Z19,'Age data'!$A$3:$AE$254,8,FALSE))),"",VLOOKUP($Y$7&amp;$AB19&amp;$Z19,'Age data'!$A$3:$AE$254,8,FALSE))</f>
        <v>5.2854122621564484E-2</v>
      </c>
      <c r="AG19" s="20">
        <f>IF(OR(ISERROR(VLOOKUP($Y$7&amp;$AB19&amp;$Z19,'Age data'!$A$3:$AE$254,9,FALSE)),ISBLANK(VLOOKUP($Y$7&amp;$AB19&amp;$Z19,'Age data'!$A$3:$AE$254,9,FALSE))),"",VLOOKUP($Y$7&amp;$AB19&amp;$Z19,'Age data'!$A$3:$AE$254,9,FALSE))</f>
        <v>0.10359408033826638</v>
      </c>
      <c r="AH19" s="20">
        <f>IF(OR(ISERROR(VLOOKUP($Y$7&amp;$AB19&amp;$Z19,'Age data'!$A$3:$AE$254,10,FALSE)),ISBLANK(VLOOKUP($Y$7&amp;$AB19&amp;$Z19,'Age data'!$A$3:$AE$254,10,FALSE))),"",VLOOKUP($Y$7&amp;$AB19&amp;$Z19,'Age data'!$A$3:$AE$254,10,FALSE))</f>
        <v>0.10993657505285412</v>
      </c>
      <c r="AI19" s="20">
        <f>IF(OR(ISERROR(VLOOKUP($Y$7&amp;$AB19&amp;$Z19,'Age data'!$A$3:$AE$254,11,FALSE)),ISBLANK(VLOOKUP($Y$7&amp;$AB19&amp;$Z19,'Age data'!$A$3:$AE$254,11,FALSE))),"",VLOOKUP($Y$7&amp;$AB19&amp;$Z19,'Age data'!$A$3:$AE$254,11,FALSE))</f>
        <v>0.29175475687103591</v>
      </c>
      <c r="AJ19" s="20">
        <f>IF(OR(ISERROR(VLOOKUP($Y$7&amp;$AB19&amp;$Z19,'Age data'!$A$3:$AE$254,12,FALSE)),ISBLANK(VLOOKUP($Y$7&amp;$AB19&amp;$Z19,'Age data'!$A$3:$AE$254,12,FALSE))),"",VLOOKUP($Y$7&amp;$AB19&amp;$Z19,'Age data'!$A$3:$AE$254,12,FALSE))</f>
        <v>0.17124735729386892</v>
      </c>
      <c r="AK19" s="62"/>
    </row>
    <row r="20" spans="4:37" x14ac:dyDescent="0.25">
      <c r="Y20" s="25"/>
      <c r="Z20" s="25" t="s">
        <v>8</v>
      </c>
      <c r="AA20" s="125"/>
      <c r="AB20" s="25" t="s">
        <v>4</v>
      </c>
      <c r="AC20" s="20">
        <f>IF(OR(ISERROR(VLOOKUP($Y$7&amp;$AB20&amp;$Z20,'Age data'!$A$3:$AE$254,5,FALSE)),ISBLANK(VLOOKUP($Y$7&amp;$AB20&amp;$Z20,'Age data'!$A$3:$AE$254,5,FALSE))),"",VLOOKUP($Y$7&amp;$AB20&amp;$Z20,'Age data'!$A$3:$AE$254,5,FALSE))</f>
        <v>0.24276169265033407</v>
      </c>
      <c r="AD20" s="20">
        <f>IF(OR(ISERROR(VLOOKUP($Y$7&amp;$AB20&amp;$Z20,'Age data'!$A$3:$AE$254,6,FALSE)),ISBLANK(VLOOKUP($Y$7&amp;$AB20&amp;$Z20,'Age data'!$A$3:$AE$254,6,FALSE))),"",VLOOKUP($Y$7&amp;$AB20&amp;$Z20,'Age data'!$A$3:$AE$254,6,FALSE))</f>
        <v>2.7468448403860431E-2</v>
      </c>
      <c r="AE20" s="20">
        <f>IF(OR(ISERROR(VLOOKUP($Y$7&amp;$AB20&amp;$Z20,'Age data'!$A$3:$AE$254,7,FALSE)),ISBLANK(VLOOKUP($Y$7&amp;$AB20&amp;$Z20,'Age data'!$A$3:$AE$254,7,FALSE))),"",VLOOKUP($Y$7&amp;$AB20&amp;$Z20,'Age data'!$A$3:$AE$254,7,FALSE))</f>
        <v>4.4543429844097995E-2</v>
      </c>
      <c r="AF20" s="20">
        <f>IF(OR(ISERROR(VLOOKUP($Y$7&amp;$AB20&amp;$Z20,'Age data'!$A$3:$AE$254,8,FALSE)),ISBLANK(VLOOKUP($Y$7&amp;$AB20&amp;$Z20,'Age data'!$A$3:$AE$254,8,FALSE))),"",VLOOKUP($Y$7&amp;$AB20&amp;$Z20,'Age data'!$A$3:$AE$254,8,FALSE))</f>
        <v>7.9435783221974754E-2</v>
      </c>
      <c r="AG20" s="20">
        <f>IF(OR(ISERROR(VLOOKUP($Y$7&amp;$AB20&amp;$Z20,'Age data'!$A$3:$AE$254,9,FALSE)),ISBLANK(VLOOKUP($Y$7&amp;$AB20&amp;$Z20,'Age data'!$A$3:$AE$254,9,FALSE))),"",VLOOKUP($Y$7&amp;$AB20&amp;$Z20,'Age data'!$A$3:$AE$254,9,FALSE))</f>
        <v>0.25612472160356348</v>
      </c>
      <c r="AH20" s="20">
        <f>IF(OR(ISERROR(VLOOKUP($Y$7&amp;$AB20&amp;$Z20,'Age data'!$A$3:$AE$254,10,FALSE)),ISBLANK(VLOOKUP($Y$7&amp;$AB20&amp;$Z20,'Age data'!$A$3:$AE$254,10,FALSE))),"",VLOOKUP($Y$7&amp;$AB20&amp;$Z20,'Age data'!$A$3:$AE$254,10,FALSE))</f>
        <v>3.4892353377876766E-2</v>
      </c>
      <c r="AI20" s="20">
        <f>IF(OR(ISERROR(VLOOKUP($Y$7&amp;$AB20&amp;$Z20,'Age data'!$A$3:$AE$254,11,FALSE)),ISBLANK(VLOOKUP($Y$7&amp;$AB20&amp;$Z20,'Age data'!$A$3:$AE$254,11,FALSE))),"",VLOOKUP($Y$7&amp;$AB20&amp;$Z20,'Age data'!$A$3:$AE$254,11,FALSE))</f>
        <v>0.13066072754268745</v>
      </c>
      <c r="AJ20" s="20">
        <f>IF(OR(ISERROR(VLOOKUP($Y$7&amp;$AB20&amp;$Z20,'Age data'!$A$3:$AE$254,12,FALSE)),ISBLANK(VLOOKUP($Y$7&amp;$AB20&amp;$Z20,'Age data'!$A$3:$AE$254,12,FALSE))),"",VLOOKUP($Y$7&amp;$AB20&amp;$Z20,'Age data'!$A$3:$AE$254,12,FALSE))</f>
        <v>0.18411284335560504</v>
      </c>
      <c r="AK20" s="62"/>
    </row>
    <row r="21" spans="4:37" x14ac:dyDescent="0.25">
      <c r="D21" s="109" t="s">
        <v>13</v>
      </c>
      <c r="E21" s="110"/>
      <c r="F21" s="110"/>
      <c r="G21" s="110"/>
      <c r="H21" s="110"/>
      <c r="I21" s="110"/>
      <c r="J21" s="110"/>
      <c r="K21" s="110"/>
      <c r="L21" s="110"/>
      <c r="M21" s="110"/>
      <c r="N21" s="110"/>
      <c r="O21" s="110"/>
      <c r="P21" s="110"/>
      <c r="Q21" s="110"/>
      <c r="R21" s="110"/>
      <c r="S21" s="110"/>
      <c r="T21" s="110"/>
      <c r="U21" s="110"/>
      <c r="V21" s="110"/>
      <c r="W21" s="110"/>
      <c r="Y21" s="25"/>
      <c r="Z21" s="25" t="s">
        <v>8</v>
      </c>
      <c r="AA21" s="125"/>
      <c r="AB21" s="25" t="s">
        <v>34</v>
      </c>
      <c r="AC21" s="20">
        <f>IF(OR(ISERROR(VLOOKUP($Y$7&amp;$AB21&amp;$Z21,'Age data'!$A$3:$AE$254,5,FALSE)),ISBLANK(VLOOKUP($Y$7&amp;$AB21&amp;$Z21,'Age data'!$A$3:$AE$254,5,FALSE))),"",VLOOKUP($Y$7&amp;$AB21&amp;$Z21,'Age data'!$A$3:$AE$254,5,FALSE))</f>
        <v>0.12676438653637351</v>
      </c>
      <c r="AD21" s="20">
        <f>IF(OR(ISERROR(VLOOKUP($Y$7&amp;$AB21&amp;$Z21,'Age data'!$A$3:$AE$254,6,FALSE)),ISBLANK(VLOOKUP($Y$7&amp;$AB21&amp;$Z21,'Age data'!$A$3:$AE$254,6,FALSE))),"",VLOOKUP($Y$7&amp;$AB21&amp;$Z21,'Age data'!$A$3:$AE$254,6,FALSE))</f>
        <v>1.6897394136807818E-2</v>
      </c>
      <c r="AE21" s="20">
        <f>IF(OR(ISERROR(VLOOKUP($Y$7&amp;$AB21&amp;$Z21,'Age data'!$A$3:$AE$254,7,FALSE)),ISBLANK(VLOOKUP($Y$7&amp;$AB21&amp;$Z21,'Age data'!$A$3:$AE$254,7,FALSE))),"",VLOOKUP($Y$7&amp;$AB21&amp;$Z21,'Age data'!$A$3:$AE$254,7,FALSE))</f>
        <v>1.4793702497285559E-2</v>
      </c>
      <c r="AF21" s="20">
        <f>IF(OR(ISERROR(VLOOKUP($Y$7&amp;$AB21&amp;$Z21,'Age data'!$A$3:$AE$254,8,FALSE)),ISBLANK(VLOOKUP($Y$7&amp;$AB21&amp;$Z21,'Age data'!$A$3:$AE$254,8,FALSE))),"",VLOOKUP($Y$7&amp;$AB21&amp;$Z21,'Age data'!$A$3:$AE$254,8,FALSE))</f>
        <v>7.4511400651465803E-2</v>
      </c>
      <c r="AG21" s="20">
        <f>IF(OR(ISERROR(VLOOKUP($Y$7&amp;$AB21&amp;$Z21,'Age data'!$A$3:$AE$254,9,FALSE)),ISBLANK(VLOOKUP($Y$7&amp;$AB21&amp;$Z21,'Age data'!$A$3:$AE$254,9,FALSE))),"",VLOOKUP($Y$7&amp;$AB21&amp;$Z21,'Age data'!$A$3:$AE$254,9,FALSE))</f>
        <v>0.36163137893593922</v>
      </c>
      <c r="AH21" s="20">
        <f>IF(OR(ISERROR(VLOOKUP($Y$7&amp;$AB21&amp;$Z21,'Age data'!$A$3:$AE$254,10,FALSE)),ISBLANK(VLOOKUP($Y$7&amp;$AB21&amp;$Z21,'Age data'!$A$3:$AE$254,10,FALSE))),"",VLOOKUP($Y$7&amp;$AB21&amp;$Z21,'Age data'!$A$3:$AE$254,10,FALSE))</f>
        <v>1.6015200868621064E-2</v>
      </c>
      <c r="AI21" s="20">
        <f>IF(OR(ISERROR(VLOOKUP($Y$7&amp;$AB21&amp;$Z21,'Age data'!$A$3:$AE$254,11,FALSE)),ISBLANK(VLOOKUP($Y$7&amp;$AB21&amp;$Z21,'Age data'!$A$3:$AE$254,11,FALSE))),"",VLOOKUP($Y$7&amp;$AB21&amp;$Z21,'Age data'!$A$3:$AE$254,11,FALSE))</f>
        <v>3.6882464712269275E-2</v>
      </c>
      <c r="AJ21" s="20">
        <f>IF(OR(ISERROR(VLOOKUP($Y$7&amp;$AB21&amp;$Z21,'Age data'!$A$3:$AE$254,12,FALSE)),ISBLANK(VLOOKUP($Y$7&amp;$AB21&amp;$Z21,'Age data'!$A$3:$AE$254,12,FALSE))),"",VLOOKUP($Y$7&amp;$AB21&amp;$Z21,'Age data'!$A$3:$AE$254,12,FALSE))</f>
        <v>0.35250407166123776</v>
      </c>
      <c r="AK21" s="62"/>
    </row>
    <row r="22" spans="4:37" ht="32.25" customHeight="1" x14ac:dyDescent="0.25">
      <c r="D22" s="104" t="s">
        <v>14</v>
      </c>
      <c r="E22" s="105"/>
      <c r="F22" s="105"/>
      <c r="G22" s="105"/>
      <c r="H22" s="105"/>
      <c r="I22" s="105"/>
      <c r="J22" s="105"/>
      <c r="K22" s="105"/>
      <c r="L22" s="105"/>
      <c r="M22" s="105"/>
      <c r="N22" s="105"/>
      <c r="O22" s="105"/>
      <c r="P22" s="105"/>
      <c r="Q22" s="105"/>
      <c r="R22" s="105"/>
      <c r="S22" s="105"/>
      <c r="T22" s="105"/>
      <c r="U22" s="105"/>
      <c r="V22" s="105"/>
      <c r="W22" s="105"/>
      <c r="Y22" s="25"/>
      <c r="Z22" s="25"/>
      <c r="AA22" s="63"/>
      <c r="AB22" s="25"/>
      <c r="AC22" s="20"/>
      <c r="AD22" s="20"/>
      <c r="AE22" s="20"/>
      <c r="AF22" s="20"/>
      <c r="AG22" s="20"/>
      <c r="AH22" s="20"/>
      <c r="AI22" s="20"/>
      <c r="AJ22" s="20"/>
      <c r="AK22" s="62"/>
    </row>
    <row r="23" spans="4:37" ht="33" customHeight="1" x14ac:dyDescent="0.25">
      <c r="D23" s="82" t="s">
        <v>95</v>
      </c>
      <c r="E23" s="82"/>
      <c r="F23" s="82"/>
      <c r="G23" s="82"/>
      <c r="H23" s="82"/>
      <c r="I23" s="82"/>
      <c r="J23" s="82"/>
      <c r="K23" s="82"/>
      <c r="L23" s="82"/>
      <c r="M23" s="82"/>
      <c r="N23" s="82"/>
      <c r="O23" s="82"/>
      <c r="P23" s="82"/>
      <c r="Q23" s="82"/>
      <c r="R23" s="82"/>
      <c r="S23" s="82"/>
      <c r="T23" s="82"/>
      <c r="U23" s="82"/>
      <c r="V23" s="82"/>
      <c r="W23" s="82"/>
      <c r="Y23" s="25"/>
      <c r="Z23" s="25" t="s">
        <v>9</v>
      </c>
      <c r="AA23" s="125" t="s">
        <v>9</v>
      </c>
      <c r="AB23" s="25" t="s">
        <v>0</v>
      </c>
      <c r="AC23" s="20">
        <f>IF(OR(ISERROR(VLOOKUP($Y$7&amp;$AB23&amp;$Z23,'Age data'!$A$3:$AE$254,5,FALSE)),ISBLANK(VLOOKUP($Y$7&amp;$AB23&amp;$Z23,'Age data'!$A$3:$AE$254,5,FALSE))),"",VLOOKUP($Y$7&amp;$AB23&amp;$Z23,'Age data'!$A$3:$AE$254,5,FALSE))</f>
        <v>0.13795927280668233</v>
      </c>
      <c r="AD23" s="20">
        <f>IF(OR(ISERROR(VLOOKUP($Y$7&amp;$AB23&amp;$Z23,'Age data'!$A$3:$AE$254,6,FALSE)),ISBLANK(VLOOKUP($Y$7&amp;$AB23&amp;$Z23,'Age data'!$A$3:$AE$254,6,FALSE))),"",VLOOKUP($Y$7&amp;$AB23&amp;$Z23,'Age data'!$A$3:$AE$254,6,FALSE))</f>
        <v>2.7842987388764537E-3</v>
      </c>
      <c r="AE23" s="20">
        <f>IF(OR(ISERROR(VLOOKUP($Y$7&amp;$AB23&amp;$Z23,'Age data'!$A$3:$AE$254,7,FALSE)),ISBLANK(VLOOKUP($Y$7&amp;$AB23&amp;$Z23,'Age data'!$A$3:$AE$254,7,FALSE))),"",VLOOKUP($Y$7&amp;$AB23&amp;$Z23,'Age data'!$A$3:$AE$254,7,FALSE))</f>
        <v>8.0799257520336298E-3</v>
      </c>
      <c r="AF23" s="20">
        <f>IF(OR(ISERROR(VLOOKUP($Y$7&amp;$AB23&amp;$Z23,'Age data'!$A$3:$AE$254,8,FALSE)),ISBLANK(VLOOKUP($Y$7&amp;$AB23&amp;$Z23,'Age data'!$A$3:$AE$254,8,FALSE))),"",VLOOKUP($Y$7&amp;$AB23&amp;$Z23,'Age data'!$A$3:$AE$254,8,FALSE))</f>
        <v>3.4012119888628053E-2</v>
      </c>
      <c r="AG23" s="20">
        <f>IF(OR(ISERROR(VLOOKUP($Y$7&amp;$AB23&amp;$Z23,'Age data'!$A$3:$AE$254,9,FALSE)),ISBLANK(VLOOKUP($Y$7&amp;$AB23&amp;$Z23,'Age data'!$A$3:$AE$254,9,FALSE))),"",VLOOKUP($Y$7&amp;$AB23&amp;$Z23,'Age data'!$A$3:$AE$254,9,FALSE))</f>
        <v>0.62346454113664906</v>
      </c>
      <c r="AH23" s="20">
        <f>IF(OR(ISERROR(VLOOKUP($Y$7&amp;$AB23&amp;$Z23,'Age data'!$A$3:$AE$254,10,FALSE)),ISBLANK(VLOOKUP($Y$7&amp;$AB23&amp;$Z23,'Age data'!$A$3:$AE$254,10,FALSE))),"",VLOOKUP($Y$7&amp;$AB23&amp;$Z23,'Age data'!$A$3:$AE$254,10,FALSE))</f>
        <v>3.5486160397444995E-3</v>
      </c>
      <c r="AI23" s="20">
        <f>IF(OR(ISERROR(VLOOKUP($Y$7&amp;$AB23&amp;$Z23,'Age data'!$A$3:$AE$254,11,FALSE)),ISBLANK(VLOOKUP($Y$7&amp;$AB23&amp;$Z23,'Age data'!$A$3:$AE$254,11,FALSE))),"",VLOOKUP($Y$7&amp;$AB23&amp;$Z23,'Age data'!$A$3:$AE$254,11,FALSE))</f>
        <v>1.9271714800458591E-2</v>
      </c>
      <c r="AJ23" s="20">
        <f>IF(OR(ISERROR(VLOOKUP($Y$7&amp;$AB23&amp;$Z23,'Age data'!$A$3:$AE$254,12,FALSE)),ISBLANK(VLOOKUP($Y$7&amp;$AB23&amp;$Z23,'Age data'!$A$3:$AE$254,12,FALSE))),"",VLOOKUP($Y$7&amp;$AB23&amp;$Z23,'Age data'!$A$3:$AE$254,12,FALSE))</f>
        <v>0.17087951083692746</v>
      </c>
      <c r="AK23" s="62"/>
    </row>
    <row r="24" spans="4:37" x14ac:dyDescent="0.25">
      <c r="Y24" s="25"/>
      <c r="Z24" s="25" t="s">
        <v>9</v>
      </c>
      <c r="AA24" s="125"/>
      <c r="AB24" s="25" t="s">
        <v>1</v>
      </c>
      <c r="AC24" s="20">
        <f>IF(OR(ISERROR(VLOOKUP($Y$7&amp;$AB24&amp;$Z24,'Age data'!$A$3:$AE$254,5,FALSE)),ISBLANK(VLOOKUP($Y$7&amp;$AB24&amp;$Z24,'Age data'!$A$3:$AE$254,5,FALSE))),"",VLOOKUP($Y$7&amp;$AB24&amp;$Z24,'Age data'!$A$3:$AE$254,5,FALSE))</f>
        <v>0.1427211355374762</v>
      </c>
      <c r="AD24" s="20">
        <f>IF(OR(ISERROR(VLOOKUP($Y$7&amp;$AB24&amp;$Z24,'Age data'!$A$3:$AE$254,6,FALSE)),ISBLANK(VLOOKUP($Y$7&amp;$AB24&amp;$Z24,'Age data'!$A$3:$AE$254,6,FALSE))),"",VLOOKUP($Y$7&amp;$AB24&amp;$Z24,'Age data'!$A$3:$AE$254,6,FALSE))</f>
        <v>2.1204777566210836E-2</v>
      </c>
      <c r="AE24" s="20">
        <f>IF(OR(ISERROR(VLOOKUP($Y$7&amp;$AB24&amp;$Z24,'Age data'!$A$3:$AE$254,7,FALSE)),ISBLANK(VLOOKUP($Y$7&amp;$AB24&amp;$Z24,'Age data'!$A$3:$AE$254,7,FALSE))),"",VLOOKUP($Y$7&amp;$AB24&amp;$Z24,'Age data'!$A$3:$AE$254,7,FALSE))</f>
        <v>7.5298597888177254E-3</v>
      </c>
      <c r="AF24" s="20">
        <f>IF(OR(ISERROR(VLOOKUP($Y$7&amp;$AB24&amp;$Z24,'Age data'!$A$3:$AE$254,8,FALSE)),ISBLANK(VLOOKUP($Y$7&amp;$AB24&amp;$Z24,'Age data'!$A$3:$AE$254,8,FALSE))),"",VLOOKUP($Y$7&amp;$AB24&amp;$Z24,'Age data'!$A$3:$AE$254,8,FALSE))</f>
        <v>8.2309157001904096E-2</v>
      </c>
      <c r="AG24" s="20">
        <f>IF(OR(ISERROR(VLOOKUP($Y$7&amp;$AB24&amp;$Z24,'Age data'!$A$3:$AE$254,9,FALSE)),ISBLANK(VLOOKUP($Y$7&amp;$AB24&amp;$Z24,'Age data'!$A$3:$AE$254,9,FALSE))),"",VLOOKUP($Y$7&amp;$AB24&amp;$Z24,'Age data'!$A$3:$AE$254,9,FALSE))</f>
        <v>0.31746581270555652</v>
      </c>
      <c r="AH24" s="20">
        <f>IF(OR(ISERROR(VLOOKUP($Y$7&amp;$AB24&amp;$Z24,'Age data'!$A$3:$AE$254,10,FALSE)),ISBLANK(VLOOKUP($Y$7&amp;$AB24&amp;$Z24,'Age data'!$A$3:$AE$254,10,FALSE))),"",VLOOKUP($Y$7&amp;$AB24&amp;$Z24,'Age data'!$A$3:$AE$254,10,FALSE))</f>
        <v>1.4194218452483988E-2</v>
      </c>
      <c r="AI24" s="20">
        <f>IF(OR(ISERROR(VLOOKUP($Y$7&amp;$AB24&amp;$Z24,'Age data'!$A$3:$AE$254,11,FALSE)),ISBLANK(VLOOKUP($Y$7&amp;$AB24&amp;$Z24,'Age data'!$A$3:$AE$254,11,FALSE))),"",VLOOKUP($Y$7&amp;$AB24&amp;$Z24,'Age data'!$A$3:$AE$254,11,FALSE))</f>
        <v>3.9380301194391551E-2</v>
      </c>
      <c r="AJ24" s="20">
        <f>IF(OR(ISERROR(VLOOKUP($Y$7&amp;$AB24&amp;$Z24,'Age data'!$A$3:$AE$254,12,FALSE)),ISBLANK(VLOOKUP($Y$7&amp;$AB24&amp;$Z24,'Age data'!$A$3:$AE$254,12,FALSE))),"",VLOOKUP($Y$7&amp;$AB24&amp;$Z24,'Age data'!$A$3:$AE$254,12,FALSE))</f>
        <v>0.37519473775315909</v>
      </c>
      <c r="AK24" s="62"/>
    </row>
    <row r="25" spans="4:37" x14ac:dyDescent="0.25">
      <c r="Y25" s="25"/>
      <c r="Z25" s="25" t="s">
        <v>9</v>
      </c>
      <c r="AA25" s="125"/>
      <c r="AB25" s="25" t="s">
        <v>2</v>
      </c>
      <c r="AC25" s="20">
        <f>IF(OR(ISERROR(VLOOKUP($Y$7&amp;$AB25&amp;$Z25,'Age data'!$A$3:$AE$254,5,FALSE)),ISBLANK(VLOOKUP($Y$7&amp;$AB25&amp;$Z25,'Age data'!$A$3:$AE$254,5,FALSE))),"",VLOOKUP($Y$7&amp;$AB25&amp;$Z25,'Age data'!$A$3:$AE$254,5,FALSE))</f>
        <v>0.22041763341067286</v>
      </c>
      <c r="AD25" s="20">
        <f>IF(OR(ISERROR(VLOOKUP($Y$7&amp;$AB25&amp;$Z25,'Age data'!$A$3:$AE$254,6,FALSE)),ISBLANK(VLOOKUP($Y$7&amp;$AB25&amp;$Z25,'Age data'!$A$3:$AE$254,6,FALSE))),"",VLOOKUP($Y$7&amp;$AB25&amp;$Z25,'Age data'!$A$3:$AE$254,6,FALSE))</f>
        <v>4.6403712296983757E-2</v>
      </c>
      <c r="AE25" s="20">
        <f>IF(OR(ISERROR(VLOOKUP($Y$7&amp;$AB25&amp;$Z25,'Age data'!$A$3:$AE$254,7,FALSE)),ISBLANK(VLOOKUP($Y$7&amp;$AB25&amp;$Z25,'Age data'!$A$3:$AE$254,7,FALSE))),"",VLOOKUP($Y$7&amp;$AB25&amp;$Z25,'Age data'!$A$3:$AE$254,7,FALSE))</f>
        <v>4.3619489559164733E-2</v>
      </c>
      <c r="AF25" s="20">
        <f>IF(OR(ISERROR(VLOOKUP($Y$7&amp;$AB25&amp;$Z25,'Age data'!$A$3:$AE$254,8,FALSE)),ISBLANK(VLOOKUP($Y$7&amp;$AB25&amp;$Z25,'Age data'!$A$3:$AE$254,8,FALSE))),"",VLOOKUP($Y$7&amp;$AB25&amp;$Z25,'Age data'!$A$3:$AE$254,8,FALSE))</f>
        <v>8.7238979118329466E-2</v>
      </c>
      <c r="AG25" s="20">
        <f>IF(OR(ISERROR(VLOOKUP($Y$7&amp;$AB25&amp;$Z25,'Age data'!$A$3:$AE$254,9,FALSE)),ISBLANK(VLOOKUP($Y$7&amp;$AB25&amp;$Z25,'Age data'!$A$3:$AE$254,9,FALSE))),"",VLOOKUP($Y$7&amp;$AB25&amp;$Z25,'Age data'!$A$3:$AE$254,9,FALSE))</f>
        <v>0.27470997679814385</v>
      </c>
      <c r="AH25" s="20">
        <f>IF(OR(ISERROR(VLOOKUP($Y$7&amp;$AB25&amp;$Z25,'Age data'!$A$3:$AE$254,10,FALSE)),ISBLANK(VLOOKUP($Y$7&amp;$AB25&amp;$Z25,'Age data'!$A$3:$AE$254,10,FALSE))),"",VLOOKUP($Y$7&amp;$AB25&amp;$Z25,'Age data'!$A$3:$AE$254,10,FALSE))</f>
        <v>3.8979118329466357E-2</v>
      </c>
      <c r="AI25" s="20">
        <f>IF(OR(ISERROR(VLOOKUP($Y$7&amp;$AB25&amp;$Z25,'Age data'!$A$3:$AE$254,11,FALSE)),ISBLANK(VLOOKUP($Y$7&amp;$AB25&amp;$Z25,'Age data'!$A$3:$AE$254,11,FALSE))),"",VLOOKUP($Y$7&amp;$AB25&amp;$Z25,'Age data'!$A$3:$AE$254,11,FALSE))</f>
        <v>0.12389791183294664</v>
      </c>
      <c r="AJ25" s="20">
        <f>IF(OR(ISERROR(VLOOKUP($Y$7&amp;$AB25&amp;$Z25,'Age data'!$A$3:$AE$254,12,FALSE)),ISBLANK(VLOOKUP($Y$7&amp;$AB25&amp;$Z25,'Age data'!$A$3:$AE$254,12,FALSE))),"",VLOOKUP($Y$7&amp;$AB25&amp;$Z25,'Age data'!$A$3:$AE$254,12,FALSE))</f>
        <v>0.16473317865429235</v>
      </c>
      <c r="AK25" s="62"/>
    </row>
    <row r="26" spans="4:37" x14ac:dyDescent="0.25">
      <c r="Y26" s="25"/>
      <c r="Z26" s="25" t="s">
        <v>9</v>
      </c>
      <c r="AA26" s="125"/>
      <c r="AB26" s="25" t="s">
        <v>32</v>
      </c>
      <c r="AC26" s="20">
        <f>IF(OR(ISERROR(VLOOKUP($Y$7&amp;$AB26&amp;$Z26,'Age data'!$A$3:$AE$254,5,FALSE)),ISBLANK(VLOOKUP($Y$7&amp;$AB26&amp;$Z26,'Age data'!$A$3:$AE$254,5,FALSE))),"",VLOOKUP($Y$7&amp;$AB26&amp;$Z26,'Age data'!$A$3:$AE$254,5,FALSE))</f>
        <v>0.22995283018867924</v>
      </c>
      <c r="AD26" s="20">
        <f>IF(OR(ISERROR(VLOOKUP($Y$7&amp;$AB26&amp;$Z26,'Age data'!$A$3:$AE$254,6,FALSE)),ISBLANK(VLOOKUP($Y$7&amp;$AB26&amp;$Z26,'Age data'!$A$3:$AE$254,6,FALSE))),"",VLOOKUP($Y$7&amp;$AB26&amp;$Z26,'Age data'!$A$3:$AE$254,6,FALSE))</f>
        <v>5.5424528301886794E-2</v>
      </c>
      <c r="AE26" s="20">
        <f>IF(OR(ISERROR(VLOOKUP($Y$7&amp;$AB26&amp;$Z26,'Age data'!$A$3:$AE$254,7,FALSE)),ISBLANK(VLOOKUP($Y$7&amp;$AB26&amp;$Z26,'Age data'!$A$3:$AE$254,7,FALSE))),"",VLOOKUP($Y$7&amp;$AB26&amp;$Z26,'Age data'!$A$3:$AE$254,7,FALSE))</f>
        <v>3.1839622641509434E-2</v>
      </c>
      <c r="AF26" s="20">
        <f>IF(OR(ISERROR(VLOOKUP($Y$7&amp;$AB26&amp;$Z26,'Age data'!$A$3:$AE$254,8,FALSE)),ISBLANK(VLOOKUP($Y$7&amp;$AB26&amp;$Z26,'Age data'!$A$3:$AE$254,8,FALSE))),"",VLOOKUP($Y$7&amp;$AB26&amp;$Z26,'Age data'!$A$3:$AE$254,8,FALSE))</f>
        <v>7.1933962264150941E-2</v>
      </c>
      <c r="AG26" s="20">
        <f>IF(OR(ISERROR(VLOOKUP($Y$7&amp;$AB26&amp;$Z26,'Age data'!$A$3:$AE$254,9,FALSE)),ISBLANK(VLOOKUP($Y$7&amp;$AB26&amp;$Z26,'Age data'!$A$3:$AE$254,9,FALSE))),"",VLOOKUP($Y$7&amp;$AB26&amp;$Z26,'Age data'!$A$3:$AE$254,9,FALSE))</f>
        <v>0.32665094339622641</v>
      </c>
      <c r="AH26" s="20">
        <f>IF(OR(ISERROR(VLOOKUP($Y$7&amp;$AB26&amp;$Z26,'Age data'!$A$3:$AE$254,10,FALSE)),ISBLANK(VLOOKUP($Y$7&amp;$AB26&amp;$Z26,'Age data'!$A$3:$AE$254,10,FALSE))),"",VLOOKUP($Y$7&amp;$AB26&amp;$Z26,'Age data'!$A$3:$AE$254,10,FALSE))</f>
        <v>2.8301886792452831E-2</v>
      </c>
      <c r="AI26" s="20">
        <f>IF(OR(ISERROR(VLOOKUP($Y$7&amp;$AB26&amp;$Z26,'Age data'!$A$3:$AE$254,11,FALSE)),ISBLANK(VLOOKUP($Y$7&amp;$AB26&amp;$Z26,'Age data'!$A$3:$AE$254,11,FALSE))),"",VLOOKUP($Y$7&amp;$AB26&amp;$Z26,'Age data'!$A$3:$AE$254,11,FALSE))</f>
        <v>0.10259433962264151</v>
      </c>
      <c r="AJ26" s="20">
        <f>IF(OR(ISERROR(VLOOKUP($Y$7&amp;$AB26&amp;$Z26,'Age data'!$A$3:$AE$254,12,FALSE)),ISBLANK(VLOOKUP($Y$7&amp;$AB26&amp;$Z26,'Age data'!$A$3:$AE$254,12,FALSE))),"",VLOOKUP($Y$7&amp;$AB26&amp;$Z26,'Age data'!$A$3:$AE$254,12,FALSE))</f>
        <v>0.15330188679245282</v>
      </c>
      <c r="AK26" s="62"/>
    </row>
    <row r="27" spans="4:37" x14ac:dyDescent="0.25">
      <c r="Y27" s="25"/>
      <c r="Z27" s="25" t="s">
        <v>9</v>
      </c>
      <c r="AA27" s="125"/>
      <c r="AB27" s="25" t="s">
        <v>3</v>
      </c>
      <c r="AC27" s="20">
        <f>IF(OR(ISERROR(VLOOKUP($Y$7&amp;$AB27&amp;$Z27,'Age data'!$A$3:$AE$254,5,FALSE)),ISBLANK(VLOOKUP($Y$7&amp;$AB27&amp;$Z27,'Age data'!$A$3:$AE$254,5,FALSE))),"",VLOOKUP($Y$7&amp;$AB27&amp;$Z27,'Age data'!$A$3:$AE$254,5,FALSE))</f>
        <v>0.10318664643399089</v>
      </c>
      <c r="AD27" s="20">
        <f>IF(OR(ISERROR(VLOOKUP($Y$7&amp;$AB27&amp;$Z27,'Age data'!$A$3:$AE$254,6,FALSE)),ISBLANK(VLOOKUP($Y$7&amp;$AB27&amp;$Z27,'Age data'!$A$3:$AE$254,6,FALSE))),"",VLOOKUP($Y$7&amp;$AB27&amp;$Z27,'Age data'!$A$3:$AE$254,6,FALSE))</f>
        <v>9.8634294385432475E-2</v>
      </c>
      <c r="AE27" s="20">
        <f>IF(OR(ISERROR(VLOOKUP($Y$7&amp;$AB27&amp;$Z27,'Age data'!$A$3:$AE$254,7,FALSE)),ISBLANK(VLOOKUP($Y$7&amp;$AB27&amp;$Z27,'Age data'!$A$3:$AE$254,7,FALSE))),"",VLOOKUP($Y$7&amp;$AB27&amp;$Z27,'Age data'!$A$3:$AE$254,7,FALSE))</f>
        <v>0.13353566009104703</v>
      </c>
      <c r="AF27" s="20">
        <f>IF(OR(ISERROR(VLOOKUP($Y$7&amp;$AB27&amp;$Z27,'Age data'!$A$3:$AE$254,8,FALSE)),ISBLANK(VLOOKUP($Y$7&amp;$AB27&amp;$Z27,'Age data'!$A$3:$AE$254,8,FALSE))),"",VLOOKUP($Y$7&amp;$AB27&amp;$Z27,'Age data'!$A$3:$AE$254,8,FALSE))</f>
        <v>2.4279210925644917E-2</v>
      </c>
      <c r="AG27" s="20">
        <f>IF(OR(ISERROR(VLOOKUP($Y$7&amp;$AB27&amp;$Z27,'Age data'!$A$3:$AE$254,9,FALSE)),ISBLANK(VLOOKUP($Y$7&amp;$AB27&amp;$Z27,'Age data'!$A$3:$AE$254,9,FALSE))),"",VLOOKUP($Y$7&amp;$AB27&amp;$Z27,'Age data'!$A$3:$AE$254,9,FALSE))</f>
        <v>9.7116843702579669E-2</v>
      </c>
      <c r="AH27" s="20">
        <f>IF(OR(ISERROR(VLOOKUP($Y$7&amp;$AB27&amp;$Z27,'Age data'!$A$3:$AE$254,10,FALSE)),ISBLANK(VLOOKUP($Y$7&amp;$AB27&amp;$Z27,'Age data'!$A$3:$AE$254,10,FALSE))),"",VLOOKUP($Y$7&amp;$AB27&amp;$Z27,'Age data'!$A$3:$AE$254,10,FALSE))</f>
        <v>6.3732928679817905E-2</v>
      </c>
      <c r="AI27" s="20">
        <f>IF(OR(ISERROR(VLOOKUP($Y$7&amp;$AB27&amp;$Z27,'Age data'!$A$3:$AE$254,11,FALSE)),ISBLANK(VLOOKUP($Y$7&amp;$AB27&amp;$Z27,'Age data'!$A$3:$AE$254,11,FALSE))),"",VLOOKUP($Y$7&amp;$AB27&amp;$Z27,'Age data'!$A$3:$AE$254,11,FALSE))</f>
        <v>0.38694992412746587</v>
      </c>
      <c r="AJ27" s="20">
        <f>IF(OR(ISERROR(VLOOKUP($Y$7&amp;$AB27&amp;$Z27,'Age data'!$A$3:$AE$254,12,FALSE)),ISBLANK(VLOOKUP($Y$7&amp;$AB27&amp;$Z27,'Age data'!$A$3:$AE$254,12,FALSE))),"",VLOOKUP($Y$7&amp;$AB27&amp;$Z27,'Age data'!$A$3:$AE$254,12,FALSE))</f>
        <v>9.2564491654021239E-2</v>
      </c>
      <c r="AK27" s="62"/>
    </row>
    <row r="28" spans="4:37" x14ac:dyDescent="0.25">
      <c r="Y28" s="25"/>
      <c r="Z28" s="25" t="s">
        <v>9</v>
      </c>
      <c r="AA28" s="125"/>
      <c r="AB28" s="25" t="s">
        <v>4</v>
      </c>
      <c r="AC28" s="20">
        <f>IF(OR(ISERROR(VLOOKUP($Y$7&amp;$AB28&amp;$Z28,'Age data'!$A$3:$AE$254,5,FALSE)),ISBLANK(VLOOKUP($Y$7&amp;$AB28&amp;$Z28,'Age data'!$A$3:$AE$254,5,FALSE))),"",VLOOKUP($Y$7&amp;$AB28&amp;$Z28,'Age data'!$A$3:$AE$254,5,FALSE))</f>
        <v>0.25054784514243972</v>
      </c>
      <c r="AD28" s="20">
        <f>IF(OR(ISERROR(VLOOKUP($Y$7&amp;$AB28&amp;$Z28,'Age data'!$A$3:$AE$254,6,FALSE)),ISBLANK(VLOOKUP($Y$7&amp;$AB28&amp;$Z28,'Age data'!$A$3:$AE$254,6,FALSE))),"",VLOOKUP($Y$7&amp;$AB28&amp;$Z28,'Age data'!$A$3:$AE$254,6,FALSE))</f>
        <v>1.9722425127830533E-2</v>
      </c>
      <c r="AE28" s="20">
        <f>IF(OR(ISERROR(VLOOKUP($Y$7&amp;$AB28&amp;$Z28,'Age data'!$A$3:$AE$254,7,FALSE)),ISBLANK(VLOOKUP($Y$7&amp;$AB28&amp;$Z28,'Age data'!$A$3:$AE$254,7,FALSE))),"",VLOOKUP($Y$7&amp;$AB28&amp;$Z28,'Age data'!$A$3:$AE$254,7,FALSE))</f>
        <v>4.3097151205259317E-2</v>
      </c>
      <c r="AF28" s="20">
        <f>IF(OR(ISERROR(VLOOKUP($Y$7&amp;$AB28&amp;$Z28,'Age data'!$A$3:$AE$254,8,FALSE)),ISBLANK(VLOOKUP($Y$7&amp;$AB28&amp;$Z28,'Age data'!$A$3:$AE$254,8,FALSE))),"",VLOOKUP($Y$7&amp;$AB28&amp;$Z28,'Age data'!$A$3:$AE$254,8,FALSE))</f>
        <v>5.7706355003652302E-2</v>
      </c>
      <c r="AG28" s="20">
        <f>IF(OR(ISERROR(VLOOKUP($Y$7&amp;$AB28&amp;$Z28,'Age data'!$A$3:$AE$254,9,FALSE)),ISBLANK(VLOOKUP($Y$7&amp;$AB28&amp;$Z28,'Age data'!$A$3:$AE$254,9,FALSE))),"",VLOOKUP($Y$7&amp;$AB28&amp;$Z28,'Age data'!$A$3:$AE$254,9,FALSE))</f>
        <v>0.34477720964207453</v>
      </c>
      <c r="AH28" s="20">
        <f>IF(OR(ISERROR(VLOOKUP($Y$7&amp;$AB28&amp;$Z28,'Age data'!$A$3:$AE$254,10,FALSE)),ISBLANK(VLOOKUP($Y$7&amp;$AB28&amp;$Z28,'Age data'!$A$3:$AE$254,10,FALSE))),"",VLOOKUP($Y$7&amp;$AB28&amp;$Z28,'Age data'!$A$3:$AE$254,10,FALSE))</f>
        <v>2.483564645726808E-2</v>
      </c>
      <c r="AI28" s="20">
        <f>IF(OR(ISERROR(VLOOKUP($Y$7&amp;$AB28&amp;$Z28,'Age data'!$A$3:$AE$254,11,FALSE)),ISBLANK(VLOOKUP($Y$7&amp;$AB28&amp;$Z28,'Age data'!$A$3:$AE$254,11,FALSE))),"",VLOOKUP($Y$7&amp;$AB28&amp;$Z28,'Age data'!$A$3:$AE$254,11,FALSE))</f>
        <v>0.10226442658875091</v>
      </c>
      <c r="AJ28" s="20">
        <f>IF(OR(ISERROR(VLOOKUP($Y$7&amp;$AB28&amp;$Z28,'Age data'!$A$3:$AE$254,12,FALSE)),ISBLANK(VLOOKUP($Y$7&amp;$AB28&amp;$Z28,'Age data'!$A$3:$AE$254,12,FALSE))),"",VLOOKUP($Y$7&amp;$AB28&amp;$Z28,'Age data'!$A$3:$AE$254,12,FALSE))</f>
        <v>0.15704894083272461</v>
      </c>
      <c r="AK28" s="62"/>
    </row>
    <row r="29" spans="4:37" x14ac:dyDescent="0.25">
      <c r="Y29" s="25"/>
      <c r="Z29" s="25" t="s">
        <v>9</v>
      </c>
      <c r="AA29" s="125"/>
      <c r="AB29" s="25" t="s">
        <v>34</v>
      </c>
      <c r="AC29" s="20">
        <f>IF(OR(ISERROR(VLOOKUP($Y$7&amp;$AB29&amp;$Z29,'Age data'!$A$3:$AE$254,5,FALSE)),ISBLANK(VLOOKUP($Y$7&amp;$AB29&amp;$Z29,'Age data'!$A$3:$AE$254,5,FALSE))),"",VLOOKUP($Y$7&amp;$AB29&amp;$Z29,'Age data'!$A$3:$AE$254,5,FALSE))</f>
        <v>0.15062174087444846</v>
      </c>
      <c r="AD29" s="20">
        <f>IF(OR(ISERROR(VLOOKUP($Y$7&amp;$AB29&amp;$Z29,'Age data'!$A$3:$AE$254,6,FALSE)),ISBLANK(VLOOKUP($Y$7&amp;$AB29&amp;$Z29,'Age data'!$A$3:$AE$254,6,FALSE))),"",VLOOKUP($Y$7&amp;$AB29&amp;$Z29,'Age data'!$A$3:$AE$254,6,FALSE))</f>
        <v>1.532863446220847E-2</v>
      </c>
      <c r="AE29" s="20">
        <f>IF(OR(ISERROR(VLOOKUP($Y$7&amp;$AB29&amp;$Z29,'Age data'!$A$3:$AE$254,7,FALSE)),ISBLANK(VLOOKUP($Y$7&amp;$AB29&amp;$Z29,'Age data'!$A$3:$AE$254,7,FALSE))),"",VLOOKUP($Y$7&amp;$AB29&amp;$Z29,'Age data'!$A$3:$AE$254,7,FALSE))</f>
        <v>1.4411781559796E-2</v>
      </c>
      <c r="AF29" s="20">
        <f>IF(OR(ISERROR(VLOOKUP($Y$7&amp;$AB29&amp;$Z29,'Age data'!$A$3:$AE$254,8,FALSE)),ISBLANK(VLOOKUP($Y$7&amp;$AB29&amp;$Z29,'Age data'!$A$3:$AE$254,8,FALSE))),"",VLOOKUP($Y$7&amp;$AB29&amp;$Z29,'Age data'!$A$3:$AE$254,8,FALSE))</f>
        <v>5.4953870838347373E-2</v>
      </c>
      <c r="AG29" s="20">
        <f>IF(OR(ISERROR(VLOOKUP($Y$7&amp;$AB29&amp;$Z29,'Age data'!$A$3:$AE$254,9,FALSE)),ISBLANK(VLOOKUP($Y$7&amp;$AB29&amp;$Z29,'Age data'!$A$3:$AE$254,9,FALSE))),"",VLOOKUP($Y$7&amp;$AB29&amp;$Z29,'Age data'!$A$3:$AE$254,9,FALSE))</f>
        <v>0.4725517162340267</v>
      </c>
      <c r="AH29" s="20">
        <f>IF(OR(ISERROR(VLOOKUP($Y$7&amp;$AB29&amp;$Z29,'Age data'!$A$3:$AE$254,10,FALSE)),ISBLANK(VLOOKUP($Y$7&amp;$AB29&amp;$Z29,'Age data'!$A$3:$AE$254,10,FALSE))),"",VLOOKUP($Y$7&amp;$AB29&amp;$Z29,'Age data'!$A$3:$AE$254,10,FALSE))</f>
        <v>1.1833132771760931E-2</v>
      </c>
      <c r="AI29" s="20">
        <f>IF(OR(ISERROR(VLOOKUP($Y$7&amp;$AB29&amp;$Z29,'Age data'!$A$3:$AE$254,11,FALSE)),ISBLANK(VLOOKUP($Y$7&amp;$AB29&amp;$Z29,'Age data'!$A$3:$AE$254,11,FALSE))),"",VLOOKUP($Y$7&amp;$AB29&amp;$Z29,'Age data'!$A$3:$AE$254,11,FALSE))</f>
        <v>4.4610624033006703E-2</v>
      </c>
      <c r="AJ29" s="20">
        <f>IF(OR(ISERROR(VLOOKUP($Y$7&amp;$AB29&amp;$Z29,'Age data'!$A$3:$AE$254,12,FALSE)),ISBLANK(VLOOKUP($Y$7&amp;$AB29&amp;$Z29,'Age data'!$A$3:$AE$254,12,FALSE))),"",VLOOKUP($Y$7&amp;$AB29&amp;$Z29,'Age data'!$A$3:$AE$254,12,FALSE))</f>
        <v>0.23568849922640536</v>
      </c>
      <c r="AK29" s="62"/>
    </row>
    <row r="30" spans="4:37" x14ac:dyDescent="0.25">
      <c r="Y30" s="25"/>
      <c r="Z30" s="25"/>
      <c r="AA30" s="63"/>
      <c r="AB30" s="25"/>
      <c r="AC30" s="20"/>
      <c r="AD30" s="20"/>
      <c r="AE30" s="20"/>
      <c r="AF30" s="20"/>
      <c r="AG30" s="20"/>
      <c r="AH30" s="20"/>
      <c r="AI30" s="20"/>
      <c r="AJ30" s="20"/>
      <c r="AK30" s="62"/>
    </row>
    <row r="31" spans="4:37" x14ac:dyDescent="0.25">
      <c r="Y31" s="25"/>
      <c r="Z31" s="25" t="s">
        <v>10</v>
      </c>
      <c r="AA31" s="125" t="s">
        <v>10</v>
      </c>
      <c r="AB31" s="25" t="s">
        <v>0</v>
      </c>
      <c r="AC31" s="20">
        <f>IF(OR(ISERROR(VLOOKUP($Y$7&amp;$AB31&amp;$Z31,'Age data'!$A$3:$AE$254,5,FALSE)),ISBLANK(VLOOKUP($Y$7&amp;$AB31&amp;$Z31,'Age data'!$A$3:$AE$254,5,FALSE))),"",VLOOKUP($Y$7&amp;$AB31&amp;$Z31,'Age data'!$A$3:$AE$254,5,FALSE))</f>
        <v>0.19570617459190914</v>
      </c>
      <c r="AD31" s="20">
        <f>IF(OR(ISERROR(VLOOKUP($Y$7&amp;$AB31&amp;$Z31,'Age data'!$A$3:$AE$254,6,FALSE)),ISBLANK(VLOOKUP($Y$7&amp;$AB31&amp;$Z31,'Age data'!$A$3:$AE$254,6,FALSE))),"",VLOOKUP($Y$7&amp;$AB31&amp;$Z31,'Age data'!$A$3:$AE$254,6,FALSE))</f>
        <v>1.9517388218594747E-3</v>
      </c>
      <c r="AE31" s="20">
        <f>IF(OR(ISERROR(VLOOKUP($Y$7&amp;$AB31&amp;$Z31,'Age data'!$A$3:$AE$254,7,FALSE)),ISBLANK(VLOOKUP($Y$7&amp;$AB31&amp;$Z31,'Age data'!$A$3:$AE$254,7,FALSE))),"",VLOOKUP($Y$7&amp;$AB31&amp;$Z31,'Age data'!$A$3:$AE$254,7,FALSE))</f>
        <v>7.9843860894251249E-3</v>
      </c>
      <c r="AF31" s="20">
        <f>IF(OR(ISERROR(VLOOKUP($Y$7&amp;$AB31&amp;$Z31,'Age data'!$A$3:$AE$254,8,FALSE)),ISBLANK(VLOOKUP($Y$7&amp;$AB31&amp;$Z31,'Age data'!$A$3:$AE$254,8,FALSE))),"",VLOOKUP($Y$7&amp;$AB31&amp;$Z31,'Age data'!$A$3:$AE$254,8,FALSE))</f>
        <v>2.0759403832505324E-2</v>
      </c>
      <c r="AG31" s="20">
        <f>IF(OR(ISERROR(VLOOKUP($Y$7&amp;$AB31&amp;$Z31,'Age data'!$A$3:$AE$254,9,FALSE)),ISBLANK(VLOOKUP($Y$7&amp;$AB31&amp;$Z31,'Age data'!$A$3:$AE$254,9,FALSE))),"",VLOOKUP($Y$7&amp;$AB31&amp;$Z31,'Age data'!$A$3:$AE$254,9,FALSE))</f>
        <v>0.65134847409510288</v>
      </c>
      <c r="AH31" s="20">
        <f>IF(OR(ISERROR(VLOOKUP($Y$7&amp;$AB31&amp;$Z31,'Age data'!$A$3:$AE$254,10,FALSE)),ISBLANK(VLOOKUP($Y$7&amp;$AB31&amp;$Z31,'Age data'!$A$3:$AE$254,10,FALSE))),"",VLOOKUP($Y$7&amp;$AB31&amp;$Z31,'Age data'!$A$3:$AE$254,10,FALSE))</f>
        <v>1.4194464158977999E-3</v>
      </c>
      <c r="AI31" s="20">
        <f>IF(OR(ISERROR(VLOOKUP($Y$7&amp;$AB31&amp;$Z31,'Age data'!$A$3:$AE$254,11,FALSE)),ISBLANK(VLOOKUP($Y$7&amp;$AB31&amp;$Z31,'Age data'!$A$3:$AE$254,11,FALSE))),"",VLOOKUP($Y$7&amp;$AB31&amp;$Z31,'Age data'!$A$3:$AE$254,11,FALSE))</f>
        <v>2.6082327892122073E-2</v>
      </c>
      <c r="AJ31" s="20">
        <f>IF(OR(ISERROR(VLOOKUP($Y$7&amp;$AB31&amp;$Z31,'Age data'!$A$3:$AE$254,12,FALSE)),ISBLANK(VLOOKUP($Y$7&amp;$AB31&amp;$Z31,'Age data'!$A$3:$AE$254,12,FALSE))),"",VLOOKUP($Y$7&amp;$AB31&amp;$Z31,'Age data'!$A$3:$AE$254,12,FALSE))</f>
        <v>9.4748048261178136E-2</v>
      </c>
      <c r="AK31" s="62"/>
    </row>
    <row r="32" spans="4:37" x14ac:dyDescent="0.25">
      <c r="Y32" s="25"/>
      <c r="Z32" s="25" t="s">
        <v>10</v>
      </c>
      <c r="AA32" s="125"/>
      <c r="AB32" s="25" t="s">
        <v>1</v>
      </c>
      <c r="AC32" s="20">
        <f>IF(OR(ISERROR(VLOOKUP($Y$7&amp;$AB32&amp;$Z32,'Age data'!$A$3:$AE$254,5,FALSE)),ISBLANK(VLOOKUP($Y$7&amp;$AB32&amp;$Z32,'Age data'!$A$3:$AE$254,5,FALSE))),"",VLOOKUP($Y$7&amp;$AB32&amp;$Z32,'Age data'!$A$3:$AE$254,5,FALSE))</f>
        <v>0.2297609345286607</v>
      </c>
      <c r="AD32" s="20">
        <f>IF(OR(ISERROR(VLOOKUP($Y$7&amp;$AB32&amp;$Z32,'Age data'!$A$3:$AE$254,6,FALSE)),ISBLANK(VLOOKUP($Y$7&amp;$AB32&amp;$Z32,'Age data'!$A$3:$AE$254,6,FALSE))),"",VLOOKUP($Y$7&amp;$AB32&amp;$Z32,'Age data'!$A$3:$AE$254,6,FALSE))</f>
        <v>1.8676989948383592E-2</v>
      </c>
      <c r="AE32" s="20">
        <f>IF(OR(ISERROR(VLOOKUP($Y$7&amp;$AB32&amp;$Z32,'Age data'!$A$3:$AE$254,7,FALSE)),ISBLANK(VLOOKUP($Y$7&amp;$AB32&amp;$Z32,'Age data'!$A$3:$AE$254,7,FALSE))),"",VLOOKUP($Y$7&amp;$AB32&amp;$Z32,'Age data'!$A$3:$AE$254,7,FALSE))</f>
        <v>1.5281173594132029E-2</v>
      </c>
      <c r="AF32" s="20">
        <f>IF(OR(ISERROR(VLOOKUP($Y$7&amp;$AB32&amp;$Z32,'Age data'!$A$3:$AE$254,8,FALSE)),ISBLANK(VLOOKUP($Y$7&amp;$AB32&amp;$Z32,'Age data'!$A$3:$AE$254,8,FALSE))),"",VLOOKUP($Y$7&amp;$AB32&amp;$Z32,'Age data'!$A$3:$AE$254,8,FALSE))</f>
        <v>4.1768541157294212E-2</v>
      </c>
      <c r="AG32" s="20">
        <f>IF(OR(ISERROR(VLOOKUP($Y$7&amp;$AB32&amp;$Z32,'Age data'!$A$3:$AE$254,9,FALSE)),ISBLANK(VLOOKUP($Y$7&amp;$AB32&amp;$Z32,'Age data'!$A$3:$AE$254,9,FALSE))),"",VLOOKUP($Y$7&amp;$AB32&amp;$Z32,'Age data'!$A$3:$AE$254,9,FALSE))</f>
        <v>0.42250747079597933</v>
      </c>
      <c r="AH32" s="20">
        <f>IF(OR(ISERROR(VLOOKUP($Y$7&amp;$AB32&amp;$Z32,'Age data'!$A$3:$AE$254,10,FALSE)),ISBLANK(VLOOKUP($Y$7&amp;$AB32&amp;$Z32,'Age data'!$A$3:$AE$254,10,FALSE))),"",VLOOKUP($Y$7&amp;$AB32&amp;$Z32,'Age data'!$A$3:$AE$254,10,FALSE))</f>
        <v>9.5082857919043737E-3</v>
      </c>
      <c r="AI32" s="20">
        <f>IF(OR(ISERROR(VLOOKUP($Y$7&amp;$AB32&amp;$Z32,'Age data'!$A$3:$AE$254,11,FALSE)),ISBLANK(VLOOKUP($Y$7&amp;$AB32&amp;$Z32,'Age data'!$A$3:$AE$254,11,FALSE))),"",VLOOKUP($Y$7&amp;$AB32&amp;$Z32,'Age data'!$A$3:$AE$254,11,FALSE))</f>
        <v>0.12428687856560718</v>
      </c>
      <c r="AJ32" s="20">
        <f>IF(OR(ISERROR(VLOOKUP($Y$7&amp;$AB32&amp;$Z32,'Age data'!$A$3:$AE$254,12,FALSE)),ISBLANK(VLOOKUP($Y$7&amp;$AB32&amp;$Z32,'Age data'!$A$3:$AE$254,12,FALSE))),"",VLOOKUP($Y$7&amp;$AB32&amp;$Z32,'Age data'!$A$3:$AE$254,12,FALSE))</f>
        <v>0.13820972561803857</v>
      </c>
      <c r="AK32" s="62"/>
    </row>
    <row r="33" spans="25:51" x14ac:dyDescent="0.25">
      <c r="Y33" s="25"/>
      <c r="Z33" s="25" t="s">
        <v>10</v>
      </c>
      <c r="AA33" s="125"/>
      <c r="AB33" s="25" t="s">
        <v>2</v>
      </c>
      <c r="AC33" s="20">
        <f>IF(OR(ISERROR(VLOOKUP($Y$7&amp;$AB33&amp;$Z33,'Age data'!$A$3:$AE$254,5,FALSE)),ISBLANK(VLOOKUP($Y$7&amp;$AB33&amp;$Z33,'Age data'!$A$3:$AE$254,5,FALSE))),"",VLOOKUP($Y$7&amp;$AB33&amp;$Z33,'Age data'!$A$3:$AE$254,5,FALSE))</f>
        <v>0.26205936920222633</v>
      </c>
      <c r="AD33" s="20">
        <f>IF(OR(ISERROR(VLOOKUP($Y$7&amp;$AB33&amp;$Z33,'Age data'!$A$3:$AE$254,6,FALSE)),ISBLANK(VLOOKUP($Y$7&amp;$AB33&amp;$Z33,'Age data'!$A$3:$AE$254,6,FALSE))),"",VLOOKUP($Y$7&amp;$AB33&amp;$Z33,'Age data'!$A$3:$AE$254,6,FALSE))</f>
        <v>3.8497217068645638E-2</v>
      </c>
      <c r="AE33" s="20">
        <f>IF(OR(ISERROR(VLOOKUP($Y$7&amp;$AB33&amp;$Z33,'Age data'!$A$3:$AE$254,7,FALSE)),ISBLANK(VLOOKUP($Y$7&amp;$AB33&amp;$Z33,'Age data'!$A$3:$AE$254,7,FALSE))),"",VLOOKUP($Y$7&amp;$AB33&amp;$Z33,'Age data'!$A$3:$AE$254,7,FALSE))</f>
        <v>5.9369202226345084E-2</v>
      </c>
      <c r="AF33" s="20">
        <f>IF(OR(ISERROR(VLOOKUP($Y$7&amp;$AB33&amp;$Z33,'Age data'!$A$3:$AE$254,8,FALSE)),ISBLANK(VLOOKUP($Y$7&amp;$AB33&amp;$Z33,'Age data'!$A$3:$AE$254,8,FALSE))),"",VLOOKUP($Y$7&amp;$AB33&amp;$Z33,'Age data'!$A$3:$AE$254,8,FALSE))</f>
        <v>3.1076066790352505E-2</v>
      </c>
      <c r="AG33" s="20">
        <f>IF(OR(ISERROR(VLOOKUP($Y$7&amp;$AB33&amp;$Z33,'Age data'!$A$3:$AE$254,9,FALSE)),ISBLANK(VLOOKUP($Y$7&amp;$AB33&amp;$Z33,'Age data'!$A$3:$AE$254,9,FALSE))),"",VLOOKUP($Y$7&amp;$AB33&amp;$Z33,'Age data'!$A$3:$AE$254,9,FALSE))</f>
        <v>0.2857142857142857</v>
      </c>
      <c r="AH33" s="20">
        <f>IF(OR(ISERROR(VLOOKUP($Y$7&amp;$AB33&amp;$Z33,'Age data'!$A$3:$AE$254,10,FALSE)),ISBLANK(VLOOKUP($Y$7&amp;$AB33&amp;$Z33,'Age data'!$A$3:$AE$254,10,FALSE))),"",VLOOKUP($Y$7&amp;$AB33&amp;$Z33,'Age data'!$A$3:$AE$254,10,FALSE))</f>
        <v>2.7829313543599257E-2</v>
      </c>
      <c r="AI33" s="20">
        <f>IF(OR(ISERROR(VLOOKUP($Y$7&amp;$AB33&amp;$Z33,'Age data'!$A$3:$AE$254,11,FALSE)),ISBLANK(VLOOKUP($Y$7&amp;$AB33&amp;$Z33,'Age data'!$A$3:$AE$254,11,FALSE))),"",VLOOKUP($Y$7&amp;$AB33&amp;$Z33,'Age data'!$A$3:$AE$254,11,FALSE))</f>
        <v>0.22170686456400743</v>
      </c>
      <c r="AJ33" s="20">
        <f>IF(OR(ISERROR(VLOOKUP($Y$7&amp;$AB33&amp;$Z33,'Age data'!$A$3:$AE$254,12,FALSE)),ISBLANK(VLOOKUP($Y$7&amp;$AB33&amp;$Z33,'Age data'!$A$3:$AE$254,12,FALSE))),"",VLOOKUP($Y$7&amp;$AB33&amp;$Z33,'Age data'!$A$3:$AE$254,12,FALSE))</f>
        <v>7.3747680890538028E-2</v>
      </c>
      <c r="AK33" s="62"/>
    </row>
    <row r="34" spans="25:51" ht="15.75" thickBot="1" x14ac:dyDescent="0.3">
      <c r="Y34" s="25"/>
      <c r="Z34" s="25" t="s">
        <v>10</v>
      </c>
      <c r="AA34" s="125"/>
      <c r="AB34" s="25" t="s">
        <v>32</v>
      </c>
      <c r="AC34" s="20">
        <f>IF(OR(ISERROR(VLOOKUP($Y$7&amp;$AB34&amp;$Z34,'Age data'!$A$3:$AE$254,5,FALSE)),ISBLANK(VLOOKUP($Y$7&amp;$AB34&amp;$Z34,'Age data'!$A$3:$AE$254,5,FALSE))),"",VLOOKUP($Y$7&amp;$AB34&amp;$Z34,'Age data'!$A$3:$AE$254,5,FALSE))</f>
        <v>0.25786163522012578</v>
      </c>
      <c r="AD34" s="20">
        <f>IF(OR(ISERROR(VLOOKUP($Y$7&amp;$AB34&amp;$Z34,'Age data'!$A$3:$AE$254,6,FALSE)),ISBLANK(VLOOKUP($Y$7&amp;$AB34&amp;$Z34,'Age data'!$A$3:$AE$254,6,FALSE))),"",VLOOKUP($Y$7&amp;$AB34&amp;$Z34,'Age data'!$A$3:$AE$254,6,FALSE))</f>
        <v>5.1886792452830191E-2</v>
      </c>
      <c r="AE34" s="20">
        <f>IF(OR(ISERROR(VLOOKUP($Y$7&amp;$AB34&amp;$Z34,'Age data'!$A$3:$AE$254,7,FALSE)),ISBLANK(VLOOKUP($Y$7&amp;$AB34&amp;$Z34,'Age data'!$A$3:$AE$254,7,FALSE))),"",VLOOKUP($Y$7&amp;$AB34&amp;$Z34,'Age data'!$A$3:$AE$254,7,FALSE))</f>
        <v>5.5031446540880505E-2</v>
      </c>
      <c r="AF34" s="20">
        <f>IF(OR(ISERROR(VLOOKUP($Y$7&amp;$AB34&amp;$Z34,'Age data'!$A$3:$AE$254,8,FALSE)),ISBLANK(VLOOKUP($Y$7&amp;$AB34&amp;$Z34,'Age data'!$A$3:$AE$254,8,FALSE))),"",VLOOKUP($Y$7&amp;$AB34&amp;$Z34,'Age data'!$A$3:$AE$254,8,FALSE))</f>
        <v>2.9874213836477988E-2</v>
      </c>
      <c r="AG34" s="20">
        <f>IF(OR(ISERROR(VLOOKUP($Y$7&amp;$AB34&amp;$Z34,'Age data'!$A$3:$AE$254,9,FALSE)),ISBLANK(VLOOKUP($Y$7&amp;$AB34&amp;$Z34,'Age data'!$A$3:$AE$254,9,FALSE))),"",VLOOKUP($Y$7&amp;$AB34&amp;$Z34,'Age data'!$A$3:$AE$254,9,FALSE))</f>
        <v>0.3191823899371069</v>
      </c>
      <c r="AH34" s="20">
        <f>IF(OR(ISERROR(VLOOKUP($Y$7&amp;$AB34&amp;$Z34,'Age data'!$A$3:$AE$254,10,FALSE)),ISBLANK(VLOOKUP($Y$7&amp;$AB34&amp;$Z34,'Age data'!$A$3:$AE$254,10,FALSE))),"",VLOOKUP($Y$7&amp;$AB34&amp;$Z34,'Age data'!$A$3:$AE$254,10,FALSE))</f>
        <v>2.20125786163522E-2</v>
      </c>
      <c r="AI34" s="20">
        <f>IF(OR(ISERROR(VLOOKUP($Y$7&amp;$AB34&amp;$Z34,'Age data'!$A$3:$AE$254,11,FALSE)),ISBLANK(VLOOKUP($Y$7&amp;$AB34&amp;$Z34,'Age data'!$A$3:$AE$254,11,FALSE))),"",VLOOKUP($Y$7&amp;$AB34&amp;$Z34,'Age data'!$A$3:$AE$254,11,FALSE))</f>
        <v>0.19811320754716982</v>
      </c>
      <c r="AJ34" s="20">
        <f>IF(OR(ISERROR(VLOOKUP($Y$7&amp;$AB34&amp;$Z34,'Age data'!$A$3:$AE$254,12,FALSE)),ISBLANK(VLOOKUP($Y$7&amp;$AB34&amp;$Z34,'Age data'!$A$3:$AE$254,12,FALSE))),"",VLOOKUP($Y$7&amp;$AB34&amp;$Z34,'Age data'!$A$3:$AE$254,12,FALSE))</f>
        <v>6.6037735849056603E-2</v>
      </c>
      <c r="AK34" s="62"/>
    </row>
    <row r="35" spans="25:51" ht="15.75" thickBot="1" x14ac:dyDescent="0.3">
      <c r="Y35" s="25"/>
      <c r="Z35" s="25" t="s">
        <v>10</v>
      </c>
      <c r="AA35" s="125"/>
      <c r="AB35" s="25" t="s">
        <v>3</v>
      </c>
      <c r="AC35" s="20">
        <f>IF(OR(ISERROR(VLOOKUP($Y$7&amp;$AB35&amp;$Z35,'Age data'!$A$3:$AE$254,5,FALSE)),ISBLANK(VLOOKUP($Y$7&amp;$AB35&amp;$Z35,'Age data'!$A$3:$AE$254,5,FALSE))),"",VLOOKUP($Y$7&amp;$AB35&amp;$Z35,'Age data'!$A$3:$AE$254,5,FALSE))</f>
        <v>9.7035040431266845E-2</v>
      </c>
      <c r="AD35" s="20">
        <f>IF(OR(ISERROR(VLOOKUP($Y$7&amp;$AB35&amp;$Z35,'Age data'!$A$3:$AE$254,6,FALSE)),ISBLANK(VLOOKUP($Y$7&amp;$AB35&amp;$Z35,'Age data'!$A$3:$AE$254,6,FALSE))),"",VLOOKUP($Y$7&amp;$AB35&amp;$Z35,'Age data'!$A$3:$AE$254,6,FALSE))</f>
        <v>5.8400718778077267E-2</v>
      </c>
      <c r="AE35" s="20">
        <f>IF(OR(ISERROR(VLOOKUP($Y$7&amp;$AB35&amp;$Z35,'Age data'!$A$3:$AE$254,7,FALSE)),ISBLANK(VLOOKUP($Y$7&amp;$AB35&amp;$Z35,'Age data'!$A$3:$AE$254,7,FALSE))),"",VLOOKUP($Y$7&amp;$AB35&amp;$Z35,'Age data'!$A$3:$AE$254,7,FALSE))</f>
        <v>0.11949685534591195</v>
      </c>
      <c r="AF35" s="20">
        <f>IF(OR(ISERROR(VLOOKUP($Y$7&amp;$AB35&amp;$Z35,'Age data'!$A$3:$AE$254,8,FALSE)),ISBLANK(VLOOKUP($Y$7&amp;$AB35&amp;$Z35,'Age data'!$A$3:$AE$254,8,FALSE))),"",VLOOKUP($Y$7&amp;$AB35&amp;$Z35,'Age data'!$A$3:$AE$254,8,FALSE))</f>
        <v>9.883198562443846E-3</v>
      </c>
      <c r="AG35" s="20">
        <f>IF(OR(ISERROR(VLOOKUP($Y$7&amp;$AB35&amp;$Z35,'Age data'!$A$3:$AE$254,9,FALSE)),ISBLANK(VLOOKUP($Y$7&amp;$AB35&amp;$Z35,'Age data'!$A$3:$AE$254,9,FALSE))),"",VLOOKUP($Y$7&amp;$AB35&amp;$Z35,'Age data'!$A$3:$AE$254,9,FALSE))</f>
        <v>8.5354896675651395E-2</v>
      </c>
      <c r="AH35" s="20">
        <f>IF(OR(ISERROR(VLOOKUP($Y$7&amp;$AB35&amp;$Z35,'Age data'!$A$3:$AE$254,10,FALSE)),ISBLANK(VLOOKUP($Y$7&amp;$AB35&amp;$Z35,'Age data'!$A$3:$AE$254,10,FALSE))),"",VLOOKUP($Y$7&amp;$AB35&amp;$Z35,'Age data'!$A$3:$AE$254,10,FALSE))</f>
        <v>4.3126684636118601E-2</v>
      </c>
      <c r="AI35" s="20">
        <f>IF(OR(ISERROR(VLOOKUP($Y$7&amp;$AB35&amp;$Z35,'Age data'!$A$3:$AE$254,11,FALSE)),ISBLANK(VLOOKUP($Y$7&amp;$AB35&amp;$Z35,'Age data'!$A$3:$AE$254,11,FALSE))),"",VLOOKUP($Y$7&amp;$AB35&amp;$Z35,'Age data'!$A$3:$AE$254,11,FALSE))</f>
        <v>0.56424079065588495</v>
      </c>
      <c r="AJ35" s="20">
        <f>IF(OR(ISERROR(VLOOKUP($Y$7&amp;$AB35&amp;$Z35,'Age data'!$A$3:$AE$254,12,FALSE)),ISBLANK(VLOOKUP($Y$7&amp;$AB35&amp;$Z35,'Age data'!$A$3:$AE$254,12,FALSE))),"",VLOOKUP($Y$7&amp;$AB35&amp;$Z35,'Age data'!$A$3:$AE$254,12,FALSE))</f>
        <v>2.2461814914645103E-2</v>
      </c>
      <c r="AK35" s="62"/>
      <c r="AL35" s="111" t="s">
        <v>125</v>
      </c>
      <c r="AM35" s="112"/>
      <c r="AN35" s="112"/>
      <c r="AO35" s="112"/>
      <c r="AP35" s="112"/>
      <c r="AQ35" s="112"/>
      <c r="AR35" s="112"/>
      <c r="AS35" s="112"/>
      <c r="AT35" s="112"/>
      <c r="AU35" s="112"/>
      <c r="AV35" s="112"/>
      <c r="AW35" s="112"/>
      <c r="AX35" s="112"/>
      <c r="AY35" s="113"/>
    </row>
    <row r="36" spans="25:51" x14ac:dyDescent="0.25">
      <c r="Y36" s="25"/>
      <c r="Z36" s="25" t="s">
        <v>10</v>
      </c>
      <c r="AA36" s="125"/>
      <c r="AB36" s="25" t="s">
        <v>4</v>
      </c>
      <c r="AC36" s="20">
        <f>IF(OR(ISERROR(VLOOKUP($Y$7&amp;$AB36&amp;$Z36,'Age data'!$A$3:$AE$254,5,FALSE)),ISBLANK(VLOOKUP($Y$7&amp;$AB36&amp;$Z36,'Age data'!$A$3:$AE$254,5,FALSE))),"",VLOOKUP($Y$7&amp;$AB36&amp;$Z36,'Age data'!$A$3:$AE$254,5,FALSE))</f>
        <v>0.29339477726574503</v>
      </c>
      <c r="AD36" s="20">
        <f>IF(OR(ISERROR(VLOOKUP($Y$7&amp;$AB36&amp;$Z36,'Age data'!$A$3:$AE$254,6,FALSE)),ISBLANK(VLOOKUP($Y$7&amp;$AB36&amp;$Z36,'Age data'!$A$3:$AE$254,6,FALSE))),"",VLOOKUP($Y$7&amp;$AB36&amp;$Z36,'Age data'!$A$3:$AE$254,6,FALSE))</f>
        <v>1.3824884792626729E-2</v>
      </c>
      <c r="AE36" s="20">
        <f>IF(OR(ISERROR(VLOOKUP($Y$7&amp;$AB36&amp;$Z36,'Age data'!$A$3:$AE$254,7,FALSE)),ISBLANK(VLOOKUP($Y$7&amp;$AB36&amp;$Z36,'Age data'!$A$3:$AE$254,7,FALSE))),"",VLOOKUP($Y$7&amp;$AB36&amp;$Z36,'Age data'!$A$3:$AE$254,7,FALSE))</f>
        <v>6.6052227342549924E-2</v>
      </c>
      <c r="AF36" s="20">
        <f>IF(OR(ISERROR(VLOOKUP($Y$7&amp;$AB36&amp;$Z36,'Age data'!$A$3:$AE$254,8,FALSE)),ISBLANK(VLOOKUP($Y$7&amp;$AB36&amp;$Z36,'Age data'!$A$3:$AE$254,8,FALSE))),"",VLOOKUP($Y$7&amp;$AB36&amp;$Z36,'Age data'!$A$3:$AE$254,8,FALSE))</f>
        <v>2.4577572964669739E-2</v>
      </c>
      <c r="AG36" s="20">
        <f>IF(OR(ISERROR(VLOOKUP($Y$7&amp;$AB36&amp;$Z36,'Age data'!$A$3:$AE$254,9,FALSE)),ISBLANK(VLOOKUP($Y$7&amp;$AB36&amp;$Z36,'Age data'!$A$3:$AE$254,9,FALSE))),"",VLOOKUP($Y$7&amp;$AB36&amp;$Z36,'Age data'!$A$3:$AE$254,9,FALSE))</f>
        <v>0.30568356374807987</v>
      </c>
      <c r="AH36" s="20">
        <f>IF(OR(ISERROR(VLOOKUP($Y$7&amp;$AB36&amp;$Z36,'Age data'!$A$3:$AE$254,10,FALSE)),ISBLANK(VLOOKUP($Y$7&amp;$AB36&amp;$Z36,'Age data'!$A$3:$AE$254,10,FALSE))),"",VLOOKUP($Y$7&amp;$AB36&amp;$Z36,'Age data'!$A$3:$AE$254,10,FALSE))</f>
        <v>1.5360983102918587E-2</v>
      </c>
      <c r="AI36" s="20">
        <f>IF(OR(ISERROR(VLOOKUP($Y$7&amp;$AB36&amp;$Z36,'Age data'!$A$3:$AE$254,11,FALSE)),ISBLANK(VLOOKUP($Y$7&amp;$AB36&amp;$Z36,'Age data'!$A$3:$AE$254,11,FALSE))),"",VLOOKUP($Y$7&amp;$AB36&amp;$Z36,'Age data'!$A$3:$AE$254,11,FALSE))</f>
        <v>0.2119815668202765</v>
      </c>
      <c r="AJ36" s="20">
        <f>IF(OR(ISERROR(VLOOKUP($Y$7&amp;$AB36&amp;$Z36,'Age data'!$A$3:$AE$254,12,FALSE)),ISBLANK(VLOOKUP($Y$7&amp;$AB36&amp;$Z36,'Age data'!$A$3:$AE$254,12,FALSE))),"",VLOOKUP($Y$7&amp;$AB36&amp;$Z36,'Age data'!$A$3:$AE$254,12,FALSE))</f>
        <v>6.9124423963133647E-2</v>
      </c>
      <c r="AK36" s="62"/>
    </row>
    <row r="37" spans="25:51" x14ac:dyDescent="0.25">
      <c r="Y37" s="25"/>
      <c r="Z37" s="25" t="s">
        <v>10</v>
      </c>
      <c r="AA37" s="125"/>
      <c r="AB37" s="25" t="s">
        <v>34</v>
      </c>
      <c r="AC37" s="20">
        <f>IF(OR(ISERROR(VLOOKUP($Y$7&amp;$AB37&amp;$Z37,'Age data'!$A$3:$AE$254,5,FALSE)),ISBLANK(VLOOKUP($Y$7&amp;$AB37&amp;$Z37,'Age data'!$A$3:$AE$254,5,FALSE))),"",VLOOKUP($Y$7&amp;$AB37&amp;$Z37,'Age data'!$A$3:$AE$254,5,FALSE))</f>
        <v>0.22130358002889711</v>
      </c>
      <c r="AD37" s="20">
        <f>IF(OR(ISERROR(VLOOKUP($Y$7&amp;$AB37&amp;$Z37,'Age data'!$A$3:$AE$254,6,FALSE)),ISBLANK(VLOOKUP($Y$7&amp;$AB37&amp;$Z37,'Age data'!$A$3:$AE$254,6,FALSE))),"",VLOOKUP($Y$7&amp;$AB37&amp;$Z37,'Age data'!$A$3:$AE$254,6,FALSE))</f>
        <v>1.9104190078664311E-2</v>
      </c>
      <c r="AE37" s="20">
        <f>IF(OR(ISERROR(VLOOKUP($Y$7&amp;$AB37&amp;$Z37,'Age data'!$A$3:$AE$254,7,FALSE)),ISBLANK(VLOOKUP($Y$7&amp;$AB37&amp;$Z37,'Age data'!$A$3:$AE$254,7,FALSE))),"",VLOOKUP($Y$7&amp;$AB37&amp;$Z37,'Age data'!$A$3:$AE$254,7,FALSE))</f>
        <v>2.4442125541820518E-2</v>
      </c>
      <c r="AF37" s="20">
        <f>IF(OR(ISERROR(VLOOKUP($Y$7&amp;$AB37&amp;$Z37,'Age data'!$A$3:$AE$254,8,FALSE)),ISBLANK(VLOOKUP($Y$7&amp;$AB37&amp;$Z37,'Age data'!$A$3:$AE$254,8,FALSE))),"",VLOOKUP($Y$7&amp;$AB37&amp;$Z37,'Age data'!$A$3:$AE$254,8,FALSE))</f>
        <v>3.3913950874939799E-2</v>
      </c>
      <c r="AG37" s="20">
        <f>IF(OR(ISERROR(VLOOKUP($Y$7&amp;$AB37&amp;$Z37,'Age data'!$A$3:$AE$254,9,FALSE)),ISBLANK(VLOOKUP($Y$7&amp;$AB37&amp;$Z37,'Age data'!$A$3:$AE$254,9,FALSE))),"",VLOOKUP($Y$7&amp;$AB37&amp;$Z37,'Age data'!$A$3:$AE$254,9,FALSE))</f>
        <v>0.44168405843634612</v>
      </c>
      <c r="AH37" s="20">
        <f>IF(OR(ISERROR(VLOOKUP($Y$7&amp;$AB37&amp;$Z37,'Age data'!$A$3:$AE$254,10,FALSE)),ISBLANK(VLOOKUP($Y$7&amp;$AB37&amp;$Z37,'Age data'!$A$3:$AE$254,10,FALSE))),"",VLOOKUP($Y$7&amp;$AB37&amp;$Z37,'Age data'!$A$3:$AE$254,10,FALSE))</f>
        <v>1.1237758869802536E-2</v>
      </c>
      <c r="AI37" s="20">
        <f>IF(OR(ISERROR(VLOOKUP($Y$7&amp;$AB37&amp;$Z37,'Age data'!$A$3:$AE$254,11,FALSE)),ISBLANK(VLOOKUP($Y$7&amp;$AB37&amp;$Z37,'Age data'!$A$3:$AE$254,11,FALSE))),"",VLOOKUP($Y$7&amp;$AB37&amp;$Z37,'Age data'!$A$3:$AE$254,11,FALSE))</f>
        <v>0.13433135334724675</v>
      </c>
      <c r="AJ37" s="20">
        <f>IF(OR(ISERROR(VLOOKUP($Y$7&amp;$AB37&amp;$Z37,'Age data'!$A$3:$AE$254,12,FALSE)),ISBLANK(VLOOKUP($Y$7&amp;$AB37&amp;$Z37,'Age data'!$A$3:$AE$254,12,FALSE))),"",VLOOKUP($Y$7&amp;$AB37&amp;$Z37,'Age data'!$A$3:$AE$254,12,FALSE))</f>
        <v>0.11398298282228288</v>
      </c>
      <c r="AK37" s="62"/>
    </row>
    <row r="38" spans="25:51" x14ac:dyDescent="0.25">
      <c r="Y38" s="25"/>
      <c r="Z38" s="25"/>
      <c r="AA38" s="63"/>
      <c r="AB38" s="25"/>
      <c r="AC38" s="20"/>
      <c r="AD38" s="20"/>
      <c r="AE38" s="20"/>
      <c r="AF38" s="20"/>
      <c r="AG38" s="20"/>
      <c r="AH38" s="20"/>
      <c r="AI38" s="20"/>
      <c r="AJ38" s="20"/>
      <c r="AK38" s="62"/>
    </row>
    <row r="39" spans="25:51" x14ac:dyDescent="0.25">
      <c r="Y39" s="25"/>
      <c r="Z39" s="25" t="s">
        <v>11</v>
      </c>
      <c r="AA39" s="125" t="s">
        <v>11</v>
      </c>
      <c r="AB39" s="25" t="s">
        <v>0</v>
      </c>
      <c r="AC39" s="20">
        <f>IF(OR(ISERROR(VLOOKUP($Y$7&amp;$AB39&amp;$Z39,'Age data'!$A$3:$AE$254,5,FALSE)),ISBLANK(VLOOKUP($Y$7&amp;$AB39&amp;$Z39,'Age data'!$A$3:$AE$254,5,FALSE))),"",VLOOKUP($Y$7&amp;$AB39&amp;$Z39,'Age data'!$A$3:$AE$254,5,FALSE))</f>
        <v>0.28117913832199548</v>
      </c>
      <c r="AD39" s="20">
        <f>IF(OR(ISERROR(VLOOKUP($Y$7&amp;$AB39&amp;$Z39,'Age data'!$A$3:$AE$254,6,FALSE)),ISBLANK(VLOOKUP($Y$7&amp;$AB39&amp;$Z39,'Age data'!$A$3:$AE$254,6,FALSE))),"",VLOOKUP($Y$7&amp;$AB39&amp;$Z39,'Age data'!$A$3:$AE$254,6,FALSE))</f>
        <v>0</v>
      </c>
      <c r="AE39" s="20">
        <f>IF(OR(ISERROR(VLOOKUP($Y$7&amp;$AB39&amp;$Z39,'Age data'!$A$3:$AE$254,7,FALSE)),ISBLANK(VLOOKUP($Y$7&amp;$AB39&amp;$Z39,'Age data'!$A$3:$AE$254,7,FALSE))),"",VLOOKUP($Y$7&amp;$AB39&amp;$Z39,'Age data'!$A$3:$AE$254,7,FALSE))</f>
        <v>9.0702947845804991E-3</v>
      </c>
      <c r="AF39" s="20">
        <f>IF(OR(ISERROR(VLOOKUP($Y$7&amp;$AB39&amp;$Z39,'Age data'!$A$3:$AE$254,8,FALSE)),ISBLANK(VLOOKUP($Y$7&amp;$AB39&amp;$Z39,'Age data'!$A$3:$AE$254,8,FALSE))),"",VLOOKUP($Y$7&amp;$AB39&amp;$Z39,'Age data'!$A$3:$AE$254,8,FALSE))</f>
        <v>1.1337868480725623E-2</v>
      </c>
      <c r="AG39" s="20">
        <f>IF(OR(ISERROR(VLOOKUP($Y$7&amp;$AB39&amp;$Z39,'Age data'!$A$3:$AE$254,9,FALSE)),ISBLANK(VLOOKUP($Y$7&amp;$AB39&amp;$Z39,'Age data'!$A$3:$AE$254,9,FALSE))),"",VLOOKUP($Y$7&amp;$AB39&amp;$Z39,'Age data'!$A$3:$AE$254,9,FALSE))</f>
        <v>0.60317460317460314</v>
      </c>
      <c r="AH39" s="20">
        <f>IF(OR(ISERROR(VLOOKUP($Y$7&amp;$AB39&amp;$Z39,'Age data'!$A$3:$AE$254,10,FALSE)),ISBLANK(VLOOKUP($Y$7&amp;$AB39&amp;$Z39,'Age data'!$A$3:$AE$254,10,FALSE))),"",VLOOKUP($Y$7&amp;$AB39&amp;$Z39,'Age data'!$A$3:$AE$254,10,FALSE))</f>
        <v>0</v>
      </c>
      <c r="AI39" s="20">
        <f>IF(OR(ISERROR(VLOOKUP($Y$7&amp;$AB39&amp;$Z39,'Age data'!$A$3:$AE$254,11,FALSE)),ISBLANK(VLOOKUP($Y$7&amp;$AB39&amp;$Z39,'Age data'!$A$3:$AE$254,11,FALSE))),"",VLOOKUP($Y$7&amp;$AB39&amp;$Z39,'Age data'!$A$3:$AE$254,11,FALSE))</f>
        <v>7.2562358276643993E-2</v>
      </c>
      <c r="AJ39" s="20">
        <f>IF(OR(ISERROR(VLOOKUP($Y$7&amp;$AB39&amp;$Z39,'Age data'!$A$3:$AE$254,12,FALSE)),ISBLANK(VLOOKUP($Y$7&amp;$AB39&amp;$Z39,'Age data'!$A$3:$AE$254,12,FALSE))),"",VLOOKUP($Y$7&amp;$AB39&amp;$Z39,'Age data'!$A$3:$AE$254,12,FALSE))</f>
        <v>2.2675736961451247E-2</v>
      </c>
      <c r="AK39" s="62"/>
    </row>
    <row r="40" spans="25:51" x14ac:dyDescent="0.25">
      <c r="Y40" s="25"/>
      <c r="Z40" s="25" t="s">
        <v>11</v>
      </c>
      <c r="AA40" s="125"/>
      <c r="AB40" s="25" t="s">
        <v>1</v>
      </c>
      <c r="AC40" s="20">
        <f>IF(OR(ISERROR(VLOOKUP($Y$7&amp;$AB40&amp;$Z40,'Age data'!$A$3:$AE$254,5,FALSE)),ISBLANK(VLOOKUP($Y$7&amp;$AB40&amp;$Z40,'Age data'!$A$3:$AE$254,5,FALSE))),"",VLOOKUP($Y$7&amp;$AB40&amp;$Z40,'Age data'!$A$3:$AE$254,5,FALSE))</f>
        <v>0.26529246419488689</v>
      </c>
      <c r="AD40" s="20">
        <f>IF(OR(ISERROR(VLOOKUP($Y$7&amp;$AB40&amp;$Z40,'Age data'!$A$3:$AE$254,6,FALSE)),ISBLANK(VLOOKUP($Y$7&amp;$AB40&amp;$Z40,'Age data'!$A$3:$AE$254,6,FALSE))),"",VLOOKUP($Y$7&amp;$AB40&amp;$Z40,'Age data'!$A$3:$AE$254,6,FALSE))</f>
        <v>1.4723597911926114E-2</v>
      </c>
      <c r="AE40" s="20">
        <f>IF(OR(ISERROR(VLOOKUP($Y$7&amp;$AB40&amp;$Z40,'Age data'!$A$3:$AE$254,7,FALSE)),ISBLANK(VLOOKUP($Y$7&amp;$AB40&amp;$Z40,'Age data'!$A$3:$AE$254,7,FALSE))),"",VLOOKUP($Y$7&amp;$AB40&amp;$Z40,'Age data'!$A$3:$AE$254,7,FALSE))</f>
        <v>1.9542229955829205E-2</v>
      </c>
      <c r="AF40" s="20">
        <f>IF(OR(ISERROR(VLOOKUP($Y$7&amp;$AB40&amp;$Z40,'Age data'!$A$3:$AE$254,8,FALSE)),ISBLANK(VLOOKUP($Y$7&amp;$AB40&amp;$Z40,'Age data'!$A$3:$AE$254,8,FALSE))),"",VLOOKUP($Y$7&amp;$AB40&amp;$Z40,'Age data'!$A$3:$AE$254,8,FALSE))</f>
        <v>8.70030785704725E-3</v>
      </c>
      <c r="AG40" s="20">
        <f>IF(OR(ISERROR(VLOOKUP($Y$7&amp;$AB40&amp;$Z40,'Age data'!$A$3:$AE$254,9,FALSE)),ISBLANK(VLOOKUP($Y$7&amp;$AB40&amp;$Z40,'Age data'!$A$3:$AE$254,9,FALSE))),"",VLOOKUP($Y$7&amp;$AB40&amp;$Z40,'Age data'!$A$3:$AE$254,9,FALSE))</f>
        <v>0.33690269040289117</v>
      </c>
      <c r="AH40" s="20">
        <f>IF(OR(ISERROR(VLOOKUP($Y$7&amp;$AB40&amp;$Z40,'Age data'!$A$3:$AE$254,10,FALSE)),ISBLANK(VLOOKUP($Y$7&amp;$AB40&amp;$Z40,'Age data'!$A$3:$AE$254,10,FALSE))),"",VLOOKUP($Y$7&amp;$AB40&amp;$Z40,'Age data'!$A$3:$AE$254,10,FALSE))</f>
        <v>4.5509302636862533E-3</v>
      </c>
      <c r="AI40" s="20">
        <f>IF(OR(ISERROR(VLOOKUP($Y$7&amp;$AB40&amp;$Z40,'Age data'!$A$3:$AE$254,11,FALSE)),ISBLANK(VLOOKUP($Y$7&amp;$AB40&amp;$Z40,'Age data'!$A$3:$AE$254,11,FALSE))),"",VLOOKUP($Y$7&amp;$AB40&amp;$Z40,'Age data'!$A$3:$AE$254,11,FALSE))</f>
        <v>0.32940704055681969</v>
      </c>
      <c r="AJ40" s="20">
        <f>IF(OR(ISERROR(VLOOKUP($Y$7&amp;$AB40&amp;$Z40,'Age data'!$A$3:$AE$254,12,FALSE)),ISBLANK(VLOOKUP($Y$7&amp;$AB40&amp;$Z40,'Age data'!$A$3:$AE$254,12,FALSE))),"",VLOOKUP($Y$7&amp;$AB40&amp;$Z40,'Age data'!$A$3:$AE$254,12,FALSE))</f>
        <v>2.0880738856913397E-2</v>
      </c>
      <c r="AK40" s="62"/>
    </row>
    <row r="41" spans="25:51" x14ac:dyDescent="0.25">
      <c r="Y41" s="25"/>
      <c r="Z41" s="25" t="s">
        <v>11</v>
      </c>
      <c r="AA41" s="125"/>
      <c r="AB41" s="25" t="s">
        <v>2</v>
      </c>
      <c r="AC41" s="20">
        <f>IF(OR(ISERROR(VLOOKUP($Y$7&amp;$AB41&amp;$Z41,'Age data'!$A$3:$AE$254,5,FALSE)),ISBLANK(VLOOKUP($Y$7&amp;$AB41&amp;$Z41,'Age data'!$A$3:$AE$254,5,FALSE))),"",VLOOKUP($Y$7&amp;$AB41&amp;$Z41,'Age data'!$A$3:$AE$254,5,FALSE))</f>
        <v>0.24878993223620524</v>
      </c>
      <c r="AD41" s="20">
        <f>IF(OR(ISERROR(VLOOKUP($Y$7&amp;$AB41&amp;$Z41,'Age data'!$A$3:$AE$254,6,FALSE)),ISBLANK(VLOOKUP($Y$7&amp;$AB41&amp;$Z41,'Age data'!$A$3:$AE$254,6,FALSE))),"",VLOOKUP($Y$7&amp;$AB41&amp;$Z41,'Age data'!$A$3:$AE$254,6,FALSE))</f>
        <v>3.0009680542110357E-2</v>
      </c>
      <c r="AE41" s="20">
        <f>IF(OR(ISERROR(VLOOKUP($Y$7&amp;$AB41&amp;$Z41,'Age data'!$A$3:$AE$254,7,FALSE)),ISBLANK(VLOOKUP($Y$7&amp;$AB41&amp;$Z41,'Age data'!$A$3:$AE$254,7,FALSE))),"",VLOOKUP($Y$7&amp;$AB41&amp;$Z41,'Age data'!$A$3:$AE$254,7,FALSE))</f>
        <v>7.2604065827686345E-2</v>
      </c>
      <c r="AF41" s="20">
        <f>IF(OR(ISERROR(VLOOKUP($Y$7&amp;$AB41&amp;$Z41,'Age data'!$A$3:$AE$254,8,FALSE)),ISBLANK(VLOOKUP($Y$7&amp;$AB41&amp;$Z41,'Age data'!$A$3:$AE$254,8,FALSE))),"",VLOOKUP($Y$7&amp;$AB41&amp;$Z41,'Age data'!$A$3:$AE$254,8,FALSE))</f>
        <v>8.7124878993223628E-3</v>
      </c>
      <c r="AG41" s="20">
        <f>IF(OR(ISERROR(VLOOKUP($Y$7&amp;$AB41&amp;$Z41,'Age data'!$A$3:$AE$254,9,FALSE)),ISBLANK(VLOOKUP($Y$7&amp;$AB41&amp;$Z41,'Age data'!$A$3:$AE$254,9,FALSE))),"",VLOOKUP($Y$7&amp;$AB41&amp;$Z41,'Age data'!$A$3:$AE$254,9,FALSE))</f>
        <v>0.17424975798644723</v>
      </c>
      <c r="AH41" s="20">
        <f>IF(OR(ISERROR(VLOOKUP($Y$7&amp;$AB41&amp;$Z41,'Age data'!$A$3:$AE$254,10,FALSE)),ISBLANK(VLOOKUP($Y$7&amp;$AB41&amp;$Z41,'Age data'!$A$3:$AE$254,10,FALSE))),"",VLOOKUP($Y$7&amp;$AB41&amp;$Z41,'Age data'!$A$3:$AE$254,10,FALSE))</f>
        <v>1.2584704743465635E-2</v>
      </c>
      <c r="AI41" s="20">
        <f>IF(OR(ISERROR(VLOOKUP($Y$7&amp;$AB41&amp;$Z41,'Age data'!$A$3:$AE$254,11,FALSE)),ISBLANK(VLOOKUP($Y$7&amp;$AB41&amp;$Z41,'Age data'!$A$3:$AE$254,11,FALSE))),"",VLOOKUP($Y$7&amp;$AB41&amp;$Z41,'Age data'!$A$3:$AE$254,11,FALSE))</f>
        <v>0.44143272023233299</v>
      </c>
      <c r="AJ41" s="20">
        <f>IF(OR(ISERROR(VLOOKUP($Y$7&amp;$AB41&amp;$Z41,'Age data'!$A$3:$AE$254,12,FALSE)),ISBLANK(VLOOKUP($Y$7&amp;$AB41&amp;$Z41,'Age data'!$A$3:$AE$254,12,FALSE))),"",VLOOKUP($Y$7&amp;$AB41&amp;$Z41,'Age data'!$A$3:$AE$254,12,FALSE))</f>
        <v>1.1616650532429816E-2</v>
      </c>
      <c r="AK41" s="62"/>
    </row>
    <row r="42" spans="25:51" x14ac:dyDescent="0.25">
      <c r="Y42" s="25"/>
      <c r="Z42" s="25" t="s">
        <v>11</v>
      </c>
      <c r="AA42" s="125"/>
      <c r="AB42" s="25" t="s">
        <v>32</v>
      </c>
      <c r="AC42" s="20">
        <f>IF(OR(ISERROR(VLOOKUP($Y$7&amp;$AB42&amp;$Z42,'Age data'!$A$3:$AE$254,5,FALSE)),ISBLANK(VLOOKUP($Y$7&amp;$AB42&amp;$Z42,'Age data'!$A$3:$AE$254,5,FALSE))),"",VLOOKUP($Y$7&amp;$AB42&amp;$Z42,'Age data'!$A$3:$AE$254,5,FALSE))</f>
        <v>0.23664122137404581</v>
      </c>
      <c r="AD42" s="20">
        <f>IF(OR(ISERROR(VLOOKUP($Y$7&amp;$AB42&amp;$Z42,'Age data'!$A$3:$AE$254,6,FALSE)),ISBLANK(VLOOKUP($Y$7&amp;$AB42&amp;$Z42,'Age data'!$A$3:$AE$254,6,FALSE))),"",VLOOKUP($Y$7&amp;$AB42&amp;$Z42,'Age data'!$A$3:$AE$254,6,FALSE))</f>
        <v>4.9618320610687022E-2</v>
      </c>
      <c r="AE42" s="20">
        <f>IF(OR(ISERROR(VLOOKUP($Y$7&amp;$AB42&amp;$Z42,'Age data'!$A$3:$AE$254,7,FALSE)),ISBLANK(VLOOKUP($Y$7&amp;$AB42&amp;$Z42,'Age data'!$A$3:$AE$254,7,FALSE))),"",VLOOKUP($Y$7&amp;$AB42&amp;$Z42,'Age data'!$A$3:$AE$254,7,FALSE))</f>
        <v>4.1984732824427481E-2</v>
      </c>
      <c r="AF42" s="20">
        <f>IF(OR(ISERROR(VLOOKUP($Y$7&amp;$AB42&amp;$Z42,'Age data'!$A$3:$AE$254,8,FALSE)),ISBLANK(VLOOKUP($Y$7&amp;$AB42&amp;$Z42,'Age data'!$A$3:$AE$254,8,FALSE))),"",VLOOKUP($Y$7&amp;$AB42&amp;$Z42,'Age data'!$A$3:$AE$254,8,FALSE))</f>
        <v>1.9083969465648856E-2</v>
      </c>
      <c r="AG42" s="20">
        <f>IF(OR(ISERROR(VLOOKUP($Y$7&amp;$AB42&amp;$Z42,'Age data'!$A$3:$AE$254,9,FALSE)),ISBLANK(VLOOKUP($Y$7&amp;$AB42&amp;$Z42,'Age data'!$A$3:$AE$254,9,FALSE))),"",VLOOKUP($Y$7&amp;$AB42&amp;$Z42,'Age data'!$A$3:$AE$254,9,FALSE))</f>
        <v>0.19083969465648856</v>
      </c>
      <c r="AH42" s="20">
        <f>IF(OR(ISERROR(VLOOKUP($Y$7&amp;$AB42&amp;$Z42,'Age data'!$A$3:$AE$254,10,FALSE)),ISBLANK(VLOOKUP($Y$7&amp;$AB42&amp;$Z42,'Age data'!$A$3:$AE$254,10,FALSE))),"",VLOOKUP($Y$7&amp;$AB42&amp;$Z42,'Age data'!$A$3:$AE$254,10,FALSE))</f>
        <v>1.1450381679389313E-2</v>
      </c>
      <c r="AI42" s="20">
        <f>IF(OR(ISERROR(VLOOKUP($Y$7&amp;$AB42&amp;$Z42,'Age data'!$A$3:$AE$254,11,FALSE)),ISBLANK(VLOOKUP($Y$7&amp;$AB42&amp;$Z42,'Age data'!$A$3:$AE$254,11,FALSE))),"",VLOOKUP($Y$7&amp;$AB42&amp;$Z42,'Age data'!$A$3:$AE$254,11,FALSE))</f>
        <v>0.43129770992366412</v>
      </c>
      <c r="AJ42" s="20">
        <f>IF(OR(ISERROR(VLOOKUP($Y$7&amp;$AB42&amp;$Z42,'Age data'!$A$3:$AE$254,12,FALSE)),ISBLANK(VLOOKUP($Y$7&amp;$AB42&amp;$Z42,'Age data'!$A$3:$AE$254,12,FALSE))),"",VLOOKUP($Y$7&amp;$AB42&amp;$Z42,'Age data'!$A$3:$AE$254,12,FALSE))</f>
        <v>1.9083969465648856E-2</v>
      </c>
      <c r="AK42" s="62"/>
    </row>
    <row r="43" spans="25:51" x14ac:dyDescent="0.25">
      <c r="Y43" s="25"/>
      <c r="Z43" s="25" t="s">
        <v>11</v>
      </c>
      <c r="AA43" s="125"/>
      <c r="AB43" s="25" t="s">
        <v>3</v>
      </c>
      <c r="AC43" s="20">
        <f>IF(OR(ISERROR(VLOOKUP($Y$7&amp;$AB43&amp;$Z43,'Age data'!$A$3:$AE$254,5,FALSE)),ISBLANK(VLOOKUP($Y$7&amp;$AB43&amp;$Z43,'Age data'!$A$3:$AE$254,5,FALSE))),"",VLOOKUP($Y$7&amp;$AB43&amp;$Z43,'Age data'!$A$3:$AE$254,5,FALSE))</f>
        <v>8.1827842720510094E-2</v>
      </c>
      <c r="AD43" s="20">
        <f>IF(OR(ISERROR(VLOOKUP($Y$7&amp;$AB43&amp;$Z43,'Age data'!$A$3:$AE$254,6,FALSE)),ISBLANK(VLOOKUP($Y$7&amp;$AB43&amp;$Z43,'Age data'!$A$3:$AE$254,6,FALSE))),"",VLOOKUP($Y$7&amp;$AB43&amp;$Z43,'Age data'!$A$3:$AE$254,6,FALSE))</f>
        <v>1.9128586609989374E-2</v>
      </c>
      <c r="AE43" s="20">
        <f>IF(OR(ISERROR(VLOOKUP($Y$7&amp;$AB43&amp;$Z43,'Age data'!$A$3:$AE$254,7,FALSE)),ISBLANK(VLOOKUP($Y$7&amp;$AB43&amp;$Z43,'Age data'!$A$3:$AE$254,7,FALSE))),"",VLOOKUP($Y$7&amp;$AB43&amp;$Z43,'Age data'!$A$3:$AE$254,7,FALSE))</f>
        <v>7.7577045696068006E-2</v>
      </c>
      <c r="AF43" s="20">
        <f>IF(OR(ISERROR(VLOOKUP($Y$7&amp;$AB43&amp;$Z43,'Age data'!$A$3:$AE$254,8,FALSE)),ISBLANK(VLOOKUP($Y$7&amp;$AB43&amp;$Z43,'Age data'!$A$3:$AE$254,8,FALSE))),"",VLOOKUP($Y$7&amp;$AB43&amp;$Z43,'Age data'!$A$3:$AE$254,8,FALSE))</f>
        <v>4.2507970244420826E-3</v>
      </c>
      <c r="AG43" s="20">
        <f>IF(OR(ISERROR(VLOOKUP($Y$7&amp;$AB43&amp;$Z43,'Age data'!$A$3:$AE$254,9,FALSE)),ISBLANK(VLOOKUP($Y$7&amp;$AB43&amp;$Z43,'Age data'!$A$3:$AE$254,9,FALSE))),"",VLOOKUP($Y$7&amp;$AB43&amp;$Z43,'Age data'!$A$3:$AE$254,9,FALSE))</f>
        <v>5.526036131774708E-2</v>
      </c>
      <c r="AH43" s="20">
        <f>IF(OR(ISERROR(VLOOKUP($Y$7&amp;$AB43&amp;$Z43,'Age data'!$A$3:$AE$254,10,FALSE)),ISBLANK(VLOOKUP($Y$7&amp;$AB43&amp;$Z43,'Age data'!$A$3:$AE$254,10,FALSE))),"",VLOOKUP($Y$7&amp;$AB43&amp;$Z43,'Age data'!$A$3:$AE$254,10,FALSE))</f>
        <v>2.2316684378320937E-2</v>
      </c>
      <c r="AI43" s="20">
        <f>IF(OR(ISERROR(VLOOKUP($Y$7&amp;$AB43&amp;$Z43,'Age data'!$A$3:$AE$254,11,FALSE)),ISBLANK(VLOOKUP($Y$7&amp;$AB43&amp;$Z43,'Age data'!$A$3:$AE$254,11,FALSE))),"",VLOOKUP($Y$7&amp;$AB43&amp;$Z43,'Age data'!$A$3:$AE$254,11,FALSE))</f>
        <v>0.73645058448459089</v>
      </c>
      <c r="AJ43" s="20">
        <f>IF(OR(ISERROR(VLOOKUP($Y$7&amp;$AB43&amp;$Z43,'Age data'!$A$3:$AE$254,12,FALSE)),ISBLANK(VLOOKUP($Y$7&amp;$AB43&amp;$Z43,'Age data'!$A$3:$AE$254,12,FALSE))),"",VLOOKUP($Y$7&amp;$AB43&amp;$Z43,'Age data'!$A$3:$AE$254,12,FALSE))</f>
        <v>3.188097768331562E-3</v>
      </c>
      <c r="AK43" s="62"/>
    </row>
    <row r="44" spans="25:51" x14ac:dyDescent="0.25">
      <c r="Y44" s="25"/>
      <c r="Z44" s="25" t="s">
        <v>11</v>
      </c>
      <c r="AA44" s="125"/>
      <c r="AB44" s="25" t="s">
        <v>4</v>
      </c>
      <c r="AC44" s="20">
        <f>IF(OR(ISERROR(VLOOKUP($Y$7&amp;$AB44&amp;$Z44,'Age data'!$A$3:$AE$254,5,FALSE)),ISBLANK(VLOOKUP($Y$7&amp;$AB44&amp;$Z44,'Age data'!$A$3:$AE$254,5,FALSE))),"",VLOOKUP($Y$7&amp;$AB44&amp;$Z44,'Age data'!$A$3:$AE$254,5,FALSE))</f>
        <v>0.2608695652173913</v>
      </c>
      <c r="AD44" s="20">
        <f>IF(OR(ISERROR(VLOOKUP($Y$7&amp;$AB44&amp;$Z44,'Age data'!$A$3:$AE$254,6,FALSE)),ISBLANK(VLOOKUP($Y$7&amp;$AB44&amp;$Z44,'Age data'!$A$3:$AE$254,6,FALSE))),"",VLOOKUP($Y$7&amp;$AB44&amp;$Z44,'Age data'!$A$3:$AE$254,6,FALSE))</f>
        <v>6.2111801242236021E-3</v>
      </c>
      <c r="AE44" s="20">
        <f>IF(OR(ISERROR(VLOOKUP($Y$7&amp;$AB44&amp;$Z44,'Age data'!$A$3:$AE$254,7,FALSE)),ISBLANK(VLOOKUP($Y$7&amp;$AB44&amp;$Z44,'Age data'!$A$3:$AE$254,7,FALSE))),"",VLOOKUP($Y$7&amp;$AB44&amp;$Z44,'Age data'!$A$3:$AE$254,7,FALSE))</f>
        <v>4.9689440993788817E-2</v>
      </c>
      <c r="AF44" s="20">
        <f>IF(OR(ISERROR(VLOOKUP($Y$7&amp;$AB44&amp;$Z44,'Age data'!$A$3:$AE$254,8,FALSE)),ISBLANK(VLOOKUP($Y$7&amp;$AB44&amp;$Z44,'Age data'!$A$3:$AE$254,8,FALSE))),"",VLOOKUP($Y$7&amp;$AB44&amp;$Z44,'Age data'!$A$3:$AE$254,8,FALSE))</f>
        <v>0</v>
      </c>
      <c r="AG44" s="20">
        <f>IF(OR(ISERROR(VLOOKUP($Y$7&amp;$AB44&amp;$Z44,'Age data'!$A$3:$AE$254,9,FALSE)),ISBLANK(VLOOKUP($Y$7&amp;$AB44&amp;$Z44,'Age data'!$A$3:$AE$254,9,FALSE))),"",VLOOKUP($Y$7&amp;$AB44&amp;$Z44,'Age data'!$A$3:$AE$254,9,FALSE))</f>
        <v>0.17391304347826086</v>
      </c>
      <c r="AH44" s="20">
        <f>IF(OR(ISERROR(VLOOKUP($Y$7&amp;$AB44&amp;$Z44,'Age data'!$A$3:$AE$254,10,FALSE)),ISBLANK(VLOOKUP($Y$7&amp;$AB44&amp;$Z44,'Age data'!$A$3:$AE$254,10,FALSE))),"",VLOOKUP($Y$7&amp;$AB44&amp;$Z44,'Age data'!$A$3:$AE$254,10,FALSE))</f>
        <v>0</v>
      </c>
      <c r="AI44" s="20">
        <f>IF(OR(ISERROR(VLOOKUP($Y$7&amp;$AB44&amp;$Z44,'Age data'!$A$3:$AE$254,11,FALSE)),ISBLANK(VLOOKUP($Y$7&amp;$AB44&amp;$Z44,'Age data'!$A$3:$AE$254,11,FALSE))),"",VLOOKUP($Y$7&amp;$AB44&amp;$Z44,'Age data'!$A$3:$AE$254,11,FALSE))</f>
        <v>0.49689440993788819</v>
      </c>
      <c r="AJ44" s="20">
        <f>IF(OR(ISERROR(VLOOKUP($Y$7&amp;$AB44&amp;$Z44,'Age data'!$A$3:$AE$254,12,FALSE)),ISBLANK(VLOOKUP($Y$7&amp;$AB44&amp;$Z44,'Age data'!$A$3:$AE$254,12,FALSE))),"",VLOOKUP($Y$7&amp;$AB44&amp;$Z44,'Age data'!$A$3:$AE$254,12,FALSE))</f>
        <v>1.2422360248447204E-2</v>
      </c>
      <c r="AK44" s="62"/>
    </row>
    <row r="45" spans="25:51" x14ac:dyDescent="0.25">
      <c r="Y45" s="25"/>
      <c r="Z45" s="25" t="s">
        <v>11</v>
      </c>
      <c r="AA45" s="125"/>
      <c r="AB45" s="25" t="s">
        <v>34</v>
      </c>
      <c r="AC45" s="20">
        <f>IF(OR(ISERROR(VLOOKUP($Y$7&amp;$AB45&amp;$Z45,'Age data'!$A$3:$AE$254,5,FALSE)),ISBLANK(VLOOKUP($Y$7&amp;$AB45&amp;$Z45,'Age data'!$A$3:$AE$254,5,FALSE))),"",VLOOKUP($Y$7&amp;$AB45&amp;$Z45,'Age data'!$A$3:$AE$254,5,FALSE))</f>
        <v>0.24677466291589872</v>
      </c>
      <c r="AD45" s="20">
        <f>IF(OR(ISERROR(VLOOKUP($Y$7&amp;$AB45&amp;$Z45,'Age data'!$A$3:$AE$254,6,FALSE)),ISBLANK(VLOOKUP($Y$7&amp;$AB45&amp;$Z45,'Age data'!$A$3:$AE$254,6,FALSE))),"",VLOOKUP($Y$7&amp;$AB45&amp;$Z45,'Age data'!$A$3:$AE$254,6,FALSE))</f>
        <v>1.6781453099233679E-2</v>
      </c>
      <c r="AE45" s="20">
        <f>IF(OR(ISERROR(VLOOKUP($Y$7&amp;$AB45&amp;$Z45,'Age data'!$A$3:$AE$254,7,FALSE)),ISBLANK(VLOOKUP($Y$7&amp;$AB45&amp;$Z45,'Age data'!$A$3:$AE$254,7,FALSE))),"",VLOOKUP($Y$7&amp;$AB45&amp;$Z45,'Age data'!$A$3:$AE$254,7,FALSE))</f>
        <v>3.0749830245416627E-2</v>
      </c>
      <c r="AF45" s="20">
        <f>IF(OR(ISERROR(VLOOKUP($Y$7&amp;$AB45&amp;$Z45,'Age data'!$A$3:$AE$254,8,FALSE)),ISBLANK(VLOOKUP($Y$7&amp;$AB45&amp;$Z45,'Age data'!$A$3:$AE$254,8,FALSE))),"",VLOOKUP($Y$7&amp;$AB45&amp;$Z45,'Age data'!$A$3:$AE$254,8,FALSE))</f>
        <v>8.5362304782229115E-3</v>
      </c>
      <c r="AG45" s="20">
        <f>IF(OR(ISERROR(VLOOKUP($Y$7&amp;$AB45&amp;$Z45,'Age data'!$A$3:$AE$254,9,FALSE)),ISBLANK(VLOOKUP($Y$7&amp;$AB45&amp;$Z45,'Age data'!$A$3:$AE$254,9,FALSE))),"",VLOOKUP($Y$7&amp;$AB45&amp;$Z45,'Age data'!$A$3:$AE$254,9,FALSE))</f>
        <v>0.3000291007857212</v>
      </c>
      <c r="AH45" s="20">
        <f>IF(OR(ISERROR(VLOOKUP($Y$7&amp;$AB45&amp;$Z45,'Age data'!$A$3:$AE$254,10,FALSE)),ISBLANK(VLOOKUP($Y$7&amp;$AB45&amp;$Z45,'Age data'!$A$3:$AE$254,10,FALSE))),"",VLOOKUP($Y$7&amp;$AB45&amp;$Z45,'Age data'!$A$3:$AE$254,10,FALSE))</f>
        <v>6.8871859540207588E-3</v>
      </c>
      <c r="AI45" s="20">
        <f>IF(OR(ISERROR(VLOOKUP($Y$7&amp;$AB45&amp;$Z45,'Age data'!$A$3:$AE$254,11,FALSE)),ISBLANK(VLOOKUP($Y$7&amp;$AB45&amp;$Z45,'Age data'!$A$3:$AE$254,11,FALSE))),"",VLOOKUP($Y$7&amp;$AB45&amp;$Z45,'Age data'!$A$3:$AE$254,11,FALSE))</f>
        <v>0.37200504413619168</v>
      </c>
      <c r="AJ45" s="20">
        <f>IF(OR(ISERROR(VLOOKUP($Y$7&amp;$AB45&amp;$Z45,'Age data'!$A$3:$AE$254,12,FALSE)),ISBLANK(VLOOKUP($Y$7&amp;$AB45&amp;$Z45,'Age data'!$A$3:$AE$254,12,FALSE))),"",VLOOKUP($Y$7&amp;$AB45&amp;$Z45,'Age data'!$A$3:$AE$254,12,FALSE))</f>
        <v>1.8236492385294404E-2</v>
      </c>
      <c r="AK45" s="62"/>
    </row>
    <row r="46" spans="25:51" x14ac:dyDescent="0.25">
      <c r="Y46" s="25"/>
      <c r="Z46" s="25"/>
      <c r="AA46" s="63"/>
      <c r="AB46" s="25"/>
      <c r="AC46" s="20"/>
      <c r="AD46" s="20"/>
      <c r="AE46" s="20"/>
      <c r="AF46" s="20"/>
      <c r="AG46" s="20"/>
      <c r="AH46" s="20"/>
      <c r="AI46" s="20"/>
      <c r="AJ46" s="20"/>
      <c r="AK46" s="62"/>
    </row>
    <row r="47" spans="25:51" x14ac:dyDescent="0.25">
      <c r="Y47" s="25"/>
      <c r="Z47" s="25" t="s">
        <v>12</v>
      </c>
      <c r="AA47" s="125" t="s">
        <v>12</v>
      </c>
      <c r="AB47" s="25" t="s">
        <v>0</v>
      </c>
      <c r="AC47" s="20">
        <f>IF(OR(ISERROR(VLOOKUP($Y$7&amp;$AB47&amp;$Z47,'Age data'!$A$3:$AE$254,5,FALSE)),ISBLANK(VLOOKUP($Y$7&amp;$AB47&amp;$Z47,'Age data'!$A$3:$AE$254,5,FALSE))),"",VLOOKUP($Y$7&amp;$AB47&amp;$Z47,'Age data'!$A$3:$AE$254,5,FALSE))</f>
        <v>0.33333333333333331</v>
      </c>
      <c r="AD47" s="20">
        <f>IF(OR(ISERROR(VLOOKUP($Y$7&amp;$AB47&amp;$Z47,'Age data'!$A$3:$AE$254,6,FALSE)),ISBLANK(VLOOKUP($Y$7&amp;$AB47&amp;$Z47,'Age data'!$A$3:$AE$254,6,FALSE))),"",VLOOKUP($Y$7&amp;$AB47&amp;$Z47,'Age data'!$A$3:$AE$254,6,FALSE))</f>
        <v>0</v>
      </c>
      <c r="AE47" s="20">
        <f>IF(OR(ISERROR(VLOOKUP($Y$7&amp;$AB47&amp;$Z47,'Age data'!$A$3:$AE$254,7,FALSE)),ISBLANK(VLOOKUP($Y$7&amp;$AB47&amp;$Z47,'Age data'!$A$3:$AE$254,7,FALSE))),"",VLOOKUP($Y$7&amp;$AB47&amp;$Z47,'Age data'!$A$3:$AE$254,7,FALSE))</f>
        <v>0</v>
      </c>
      <c r="AF47" s="20">
        <f>IF(OR(ISERROR(VLOOKUP($Y$7&amp;$AB47&amp;$Z47,'Age data'!$A$3:$AE$254,8,FALSE)),ISBLANK(VLOOKUP($Y$7&amp;$AB47&amp;$Z47,'Age data'!$A$3:$AE$254,8,FALSE))),"",VLOOKUP($Y$7&amp;$AB47&amp;$Z47,'Age data'!$A$3:$AE$254,8,FALSE))</f>
        <v>1.1904761904761904E-2</v>
      </c>
      <c r="AG47" s="20">
        <f>IF(OR(ISERROR(VLOOKUP($Y$7&amp;$AB47&amp;$Z47,'Age data'!$A$3:$AE$254,9,FALSE)),ISBLANK(VLOOKUP($Y$7&amp;$AB47&amp;$Z47,'Age data'!$A$3:$AE$254,9,FALSE))),"",VLOOKUP($Y$7&amp;$AB47&amp;$Z47,'Age data'!$A$3:$AE$254,9,FALSE))</f>
        <v>0.30952380952380953</v>
      </c>
      <c r="AH47" s="20">
        <f>IF(OR(ISERROR(VLOOKUP($Y$7&amp;$AB47&amp;$Z47,'Age data'!$A$3:$AE$254,10,FALSE)),ISBLANK(VLOOKUP($Y$7&amp;$AB47&amp;$Z47,'Age data'!$A$3:$AE$254,10,FALSE))),"",VLOOKUP($Y$7&amp;$AB47&amp;$Z47,'Age data'!$A$3:$AE$254,10,FALSE))</f>
        <v>0</v>
      </c>
      <c r="AI47" s="20">
        <f>IF(OR(ISERROR(VLOOKUP($Y$7&amp;$AB47&amp;$Z47,'Age data'!$A$3:$AE$254,11,FALSE)),ISBLANK(VLOOKUP($Y$7&amp;$AB47&amp;$Z47,'Age data'!$A$3:$AE$254,11,FALSE))),"",VLOOKUP($Y$7&amp;$AB47&amp;$Z47,'Age data'!$A$3:$AE$254,11,FALSE))</f>
        <v>0.34523809523809523</v>
      </c>
      <c r="AJ47" s="20">
        <f>IF(OR(ISERROR(VLOOKUP($Y$7&amp;$AB47&amp;$Z47,'Age data'!$A$3:$AE$254,12,FALSE)),ISBLANK(VLOOKUP($Y$7&amp;$AB47&amp;$Z47,'Age data'!$A$3:$AE$254,12,FALSE))),"",VLOOKUP($Y$7&amp;$AB47&amp;$Z47,'Age data'!$A$3:$AE$254,12,FALSE))</f>
        <v>0</v>
      </c>
      <c r="AK47" s="62"/>
    </row>
    <row r="48" spans="25:51" x14ac:dyDescent="0.25">
      <c r="Y48" s="25"/>
      <c r="Z48" s="25" t="s">
        <v>12</v>
      </c>
      <c r="AA48" s="125"/>
      <c r="AB48" s="25" t="s">
        <v>1</v>
      </c>
      <c r="AC48" s="20">
        <f>IF(OR(ISERROR(VLOOKUP($Y$7&amp;$AB48&amp;$Z48,'Age data'!$A$3:$AE$254,5,FALSE)),ISBLANK(VLOOKUP($Y$7&amp;$AB48&amp;$Z48,'Age data'!$A$3:$AE$254,5,FALSE))),"",VLOOKUP($Y$7&amp;$AB48&amp;$Z48,'Age data'!$A$3:$AE$254,5,FALSE))</f>
        <v>0.18667813690549342</v>
      </c>
      <c r="AD48" s="20">
        <f>IF(OR(ISERROR(VLOOKUP($Y$7&amp;$AB48&amp;$Z48,'Age data'!$A$3:$AE$254,6,FALSE)),ISBLANK(VLOOKUP($Y$7&amp;$AB48&amp;$Z48,'Age data'!$A$3:$AE$254,6,FALSE))),"",VLOOKUP($Y$7&amp;$AB48&amp;$Z48,'Age data'!$A$3:$AE$254,6,FALSE))</f>
        <v>9.8316332800786523E-3</v>
      </c>
      <c r="AE48" s="20">
        <f>IF(OR(ISERROR(VLOOKUP($Y$7&amp;$AB48&amp;$Z48,'Age data'!$A$3:$AE$254,7,FALSE)),ISBLANK(VLOOKUP($Y$7&amp;$AB48&amp;$Z48,'Age data'!$A$3:$AE$254,7,FALSE))),"",VLOOKUP($Y$7&amp;$AB48&amp;$Z48,'Age data'!$A$3:$AE$254,7,FALSE))</f>
        <v>2.4210396952193684E-2</v>
      </c>
      <c r="AF48" s="20">
        <f>IF(OR(ISERROR(VLOOKUP($Y$7&amp;$AB48&amp;$Z48,'Age data'!$A$3:$AE$254,8,FALSE)),ISBLANK(VLOOKUP($Y$7&amp;$AB48&amp;$Z48,'Age data'!$A$3:$AE$254,8,FALSE))),"",VLOOKUP($Y$7&amp;$AB48&amp;$Z48,'Age data'!$A$3:$AE$254,8,FALSE))</f>
        <v>1.7205358240137644E-3</v>
      </c>
      <c r="AG48" s="20">
        <f>IF(OR(ISERROR(VLOOKUP($Y$7&amp;$AB48&amp;$Z48,'Age data'!$A$3:$AE$254,9,FALSE)),ISBLANK(VLOOKUP($Y$7&amp;$AB48&amp;$Z48,'Age data'!$A$3:$AE$254,9,FALSE))),"",VLOOKUP($Y$7&amp;$AB48&amp;$Z48,'Age data'!$A$3:$AE$254,9,FALSE))</f>
        <v>0.12437016099299496</v>
      </c>
      <c r="AH48" s="20">
        <f>IF(OR(ISERROR(VLOOKUP($Y$7&amp;$AB48&amp;$Z48,'Age data'!$A$3:$AE$254,10,FALSE)),ISBLANK(VLOOKUP($Y$7&amp;$AB48&amp;$Z48,'Age data'!$A$3:$AE$254,10,FALSE))),"",VLOOKUP($Y$7&amp;$AB48&amp;$Z48,'Age data'!$A$3:$AE$254,10,FALSE))</f>
        <v>2.212117488017697E-3</v>
      </c>
      <c r="AI48" s="20">
        <f>IF(OR(ISERROR(VLOOKUP($Y$7&amp;$AB48&amp;$Z48,'Age data'!$A$3:$AE$254,11,FALSE)),ISBLANK(VLOOKUP($Y$7&amp;$AB48&amp;$Z48,'Age data'!$A$3:$AE$254,11,FALSE))),"",VLOOKUP($Y$7&amp;$AB48&amp;$Z48,'Age data'!$A$3:$AE$254,11,FALSE))</f>
        <v>0.64704436524517639</v>
      </c>
      <c r="AJ48" s="20">
        <f>IF(OR(ISERROR(VLOOKUP($Y$7&amp;$AB48&amp;$Z48,'Age data'!$A$3:$AE$254,12,FALSE)),ISBLANK(VLOOKUP($Y$7&amp;$AB48&amp;$Z48,'Age data'!$A$3:$AE$254,12,FALSE))),"",VLOOKUP($Y$7&amp;$AB48&amp;$Z48,'Age data'!$A$3:$AE$254,12,FALSE))</f>
        <v>3.9326533120314609E-3</v>
      </c>
      <c r="AK48" s="62"/>
    </row>
    <row r="49" spans="4:37" x14ac:dyDescent="0.25">
      <c r="Y49" s="25"/>
      <c r="Z49" s="25" t="s">
        <v>12</v>
      </c>
      <c r="AA49" s="125"/>
      <c r="AB49" s="25" t="s">
        <v>2</v>
      </c>
      <c r="AC49" s="20">
        <f>IF(OR(ISERROR(VLOOKUP($Y$7&amp;$AB49&amp;$Z49,'Age data'!$A$3:$AE$254,5,FALSE)),ISBLANK(VLOOKUP($Y$7&amp;$AB49&amp;$Z49,'Age data'!$A$3:$AE$254,5,FALSE))),"",VLOOKUP($Y$7&amp;$AB49&amp;$Z49,'Age data'!$A$3:$AE$254,5,FALSE))</f>
        <v>0.15183673469387754</v>
      </c>
      <c r="AD49" s="20">
        <f>IF(OR(ISERROR(VLOOKUP($Y$7&amp;$AB49&amp;$Z49,'Age data'!$A$3:$AE$254,6,FALSE)),ISBLANK(VLOOKUP($Y$7&amp;$AB49&amp;$Z49,'Age data'!$A$3:$AE$254,6,FALSE))),"",VLOOKUP($Y$7&amp;$AB49&amp;$Z49,'Age data'!$A$3:$AE$254,6,FALSE))</f>
        <v>1.4693877551020407E-2</v>
      </c>
      <c r="AE49" s="20">
        <f>IF(OR(ISERROR(VLOOKUP($Y$7&amp;$AB49&amp;$Z49,'Age data'!$A$3:$AE$254,7,FALSE)),ISBLANK(VLOOKUP($Y$7&amp;$AB49&amp;$Z49,'Age data'!$A$3:$AE$254,7,FALSE))),"",VLOOKUP($Y$7&amp;$AB49&amp;$Z49,'Age data'!$A$3:$AE$254,7,FALSE))</f>
        <v>4.7346938775510203E-2</v>
      </c>
      <c r="AF49" s="20">
        <f>IF(OR(ISERROR(VLOOKUP($Y$7&amp;$AB49&amp;$Z49,'Age data'!$A$3:$AE$254,8,FALSE)),ISBLANK(VLOOKUP($Y$7&amp;$AB49&amp;$Z49,'Age data'!$A$3:$AE$254,8,FALSE))),"",VLOOKUP($Y$7&amp;$AB49&amp;$Z49,'Age data'!$A$3:$AE$254,8,FALSE))</f>
        <v>2.4489795918367346E-3</v>
      </c>
      <c r="AG49" s="20">
        <f>IF(OR(ISERROR(VLOOKUP($Y$7&amp;$AB49&amp;$Z49,'Age data'!$A$3:$AE$254,9,FALSE)),ISBLANK(VLOOKUP($Y$7&amp;$AB49&amp;$Z49,'Age data'!$A$3:$AE$254,9,FALSE))),"",VLOOKUP($Y$7&amp;$AB49&amp;$Z49,'Age data'!$A$3:$AE$254,9,FALSE))</f>
        <v>7.0204081632653056E-2</v>
      </c>
      <c r="AH49" s="20">
        <f>IF(OR(ISERROR(VLOOKUP($Y$7&amp;$AB49&amp;$Z49,'Age data'!$A$3:$AE$254,10,FALSE)),ISBLANK(VLOOKUP($Y$7&amp;$AB49&amp;$Z49,'Age data'!$A$3:$AE$254,10,FALSE))),"",VLOOKUP($Y$7&amp;$AB49&amp;$Z49,'Age data'!$A$3:$AE$254,10,FALSE))</f>
        <v>2.4489795918367346E-3</v>
      </c>
      <c r="AI49" s="20">
        <f>IF(OR(ISERROR(VLOOKUP($Y$7&amp;$AB49&amp;$Z49,'Age data'!$A$3:$AE$254,11,FALSE)),ISBLANK(VLOOKUP($Y$7&amp;$AB49&amp;$Z49,'Age data'!$A$3:$AE$254,11,FALSE))),"",VLOOKUP($Y$7&amp;$AB49&amp;$Z49,'Age data'!$A$3:$AE$254,11,FALSE))</f>
        <v>0.70857142857142852</v>
      </c>
      <c r="AJ49" s="20">
        <f>IF(OR(ISERROR(VLOOKUP($Y$7&amp;$AB49&amp;$Z49,'Age data'!$A$3:$AE$254,12,FALSE)),ISBLANK(VLOOKUP($Y$7&amp;$AB49&amp;$Z49,'Age data'!$A$3:$AE$254,12,FALSE))),"",VLOOKUP($Y$7&amp;$AB49&amp;$Z49,'Age data'!$A$3:$AE$254,12,FALSE))</f>
        <v>2.4489795918367346E-3</v>
      </c>
      <c r="AK49" s="62"/>
    </row>
    <row r="50" spans="4:37" x14ac:dyDescent="0.25">
      <c r="Y50" s="25"/>
      <c r="Z50" s="25" t="s">
        <v>12</v>
      </c>
      <c r="AA50" s="125"/>
      <c r="AB50" s="25" t="s">
        <v>32</v>
      </c>
      <c r="AC50" s="20">
        <f>IF(OR(ISERROR(VLOOKUP($Y$7&amp;$AB50&amp;$Z50,'Age data'!$A$3:$AE$254,5,FALSE)),ISBLANK(VLOOKUP($Y$7&amp;$AB50&amp;$Z50,'Age data'!$A$3:$AE$254,5,FALSE))),"",VLOOKUP($Y$7&amp;$AB50&amp;$Z50,'Age data'!$A$3:$AE$254,5,FALSE))</f>
        <v>0.14930555555555555</v>
      </c>
      <c r="AD50" s="20">
        <f>IF(OR(ISERROR(VLOOKUP($Y$7&amp;$AB50&amp;$Z50,'Age data'!$A$3:$AE$254,6,FALSE)),ISBLANK(VLOOKUP($Y$7&amp;$AB50&amp;$Z50,'Age data'!$A$3:$AE$254,6,FALSE))),"",VLOOKUP($Y$7&amp;$AB50&amp;$Z50,'Age data'!$A$3:$AE$254,6,FALSE))</f>
        <v>2.0833333333333332E-2</v>
      </c>
      <c r="AE50" s="20">
        <f>IF(OR(ISERROR(VLOOKUP($Y$7&amp;$AB50&amp;$Z50,'Age data'!$A$3:$AE$254,7,FALSE)),ISBLANK(VLOOKUP($Y$7&amp;$AB50&amp;$Z50,'Age data'!$A$3:$AE$254,7,FALSE))),"",VLOOKUP($Y$7&amp;$AB50&amp;$Z50,'Age data'!$A$3:$AE$254,7,FALSE))</f>
        <v>4.8611111111111112E-2</v>
      </c>
      <c r="AF50" s="20">
        <f>IF(OR(ISERROR(VLOOKUP($Y$7&amp;$AB50&amp;$Z50,'Age data'!$A$3:$AE$254,8,FALSE)),ISBLANK(VLOOKUP($Y$7&amp;$AB50&amp;$Z50,'Age data'!$A$3:$AE$254,8,FALSE))),"",VLOOKUP($Y$7&amp;$AB50&amp;$Z50,'Age data'!$A$3:$AE$254,8,FALSE))</f>
        <v>3.472222222222222E-3</v>
      </c>
      <c r="AG50" s="20">
        <f>IF(OR(ISERROR(VLOOKUP($Y$7&amp;$AB50&amp;$Z50,'Age data'!$A$3:$AE$254,9,FALSE)),ISBLANK(VLOOKUP($Y$7&amp;$AB50&amp;$Z50,'Age data'!$A$3:$AE$254,9,FALSE))),"",VLOOKUP($Y$7&amp;$AB50&amp;$Z50,'Age data'!$A$3:$AE$254,9,FALSE))</f>
        <v>4.8611111111111112E-2</v>
      </c>
      <c r="AH50" s="20">
        <f>IF(OR(ISERROR(VLOOKUP($Y$7&amp;$AB50&amp;$Z50,'Age data'!$A$3:$AE$254,10,FALSE)),ISBLANK(VLOOKUP($Y$7&amp;$AB50&amp;$Z50,'Age data'!$A$3:$AE$254,10,FALSE))),"",VLOOKUP($Y$7&amp;$AB50&amp;$Z50,'Age data'!$A$3:$AE$254,10,FALSE))</f>
        <v>3.472222222222222E-3</v>
      </c>
      <c r="AI50" s="20">
        <f>IF(OR(ISERROR(VLOOKUP($Y$7&amp;$AB50&amp;$Z50,'Age data'!$A$3:$AE$254,11,FALSE)),ISBLANK(VLOOKUP($Y$7&amp;$AB50&amp;$Z50,'Age data'!$A$3:$AE$254,11,FALSE))),"",VLOOKUP($Y$7&amp;$AB50&amp;$Z50,'Age data'!$A$3:$AE$254,11,FALSE))</f>
        <v>0.72222222222222221</v>
      </c>
      <c r="AJ50" s="20">
        <f>IF(OR(ISERROR(VLOOKUP($Y$7&amp;$AB50&amp;$Z50,'Age data'!$A$3:$AE$254,12,FALSE)),ISBLANK(VLOOKUP($Y$7&amp;$AB50&amp;$Z50,'Age data'!$A$3:$AE$254,12,FALSE))),"",VLOOKUP($Y$7&amp;$AB50&amp;$Z50,'Age data'!$A$3:$AE$254,12,FALSE))</f>
        <v>3.472222222222222E-3</v>
      </c>
      <c r="AK50" s="62"/>
    </row>
    <row r="51" spans="4:37" x14ac:dyDescent="0.25">
      <c r="D51" s="4"/>
      <c r="V51" s="5"/>
      <c r="W51" s="5"/>
      <c r="Y51" s="25"/>
      <c r="Z51" s="25" t="s">
        <v>12</v>
      </c>
      <c r="AA51" s="125"/>
      <c r="AB51" s="25" t="s">
        <v>3</v>
      </c>
      <c r="AC51" s="20">
        <f>IF(OR(ISERROR(VLOOKUP($Y$7&amp;$AB51&amp;$Z51,'Age data'!$A$3:$AE$254,5,FALSE)),ISBLANK(VLOOKUP($Y$7&amp;$AB51&amp;$Z51,'Age data'!$A$3:$AE$254,5,FALSE))),"",VLOOKUP($Y$7&amp;$AB51&amp;$Z51,'Age data'!$A$3:$AE$254,5,FALSE))</f>
        <v>3.6756126021003498E-2</v>
      </c>
      <c r="AD51" s="20">
        <f>IF(OR(ISERROR(VLOOKUP($Y$7&amp;$AB51&amp;$Z51,'Age data'!$A$3:$AE$254,6,FALSE)),ISBLANK(VLOOKUP($Y$7&amp;$AB51&amp;$Z51,'Age data'!$A$3:$AE$254,6,FALSE))),"",VLOOKUP($Y$7&amp;$AB51&amp;$Z51,'Age data'!$A$3:$AE$254,6,FALSE))</f>
        <v>6.4177362893815633E-3</v>
      </c>
      <c r="AE51" s="20">
        <f>IF(OR(ISERROR(VLOOKUP($Y$7&amp;$AB51&amp;$Z51,'Age data'!$A$3:$AE$254,7,FALSE)),ISBLANK(VLOOKUP($Y$7&amp;$AB51&amp;$Z51,'Age data'!$A$3:$AE$254,7,FALSE))),"",VLOOKUP($Y$7&amp;$AB51&amp;$Z51,'Age data'!$A$3:$AE$254,7,FALSE))</f>
        <v>4.7841306884480746E-2</v>
      </c>
      <c r="AF51" s="20">
        <f>IF(OR(ISERROR(VLOOKUP($Y$7&amp;$AB51&amp;$Z51,'Age data'!$A$3:$AE$254,8,FALSE)),ISBLANK(VLOOKUP($Y$7&amp;$AB51&amp;$Z51,'Age data'!$A$3:$AE$254,8,FALSE))),"",VLOOKUP($Y$7&amp;$AB51&amp;$Z51,'Age data'!$A$3:$AE$254,8,FALSE))</f>
        <v>1.750291715285881E-3</v>
      </c>
      <c r="AG51" s="20">
        <f>IF(OR(ISERROR(VLOOKUP($Y$7&amp;$AB51&amp;$Z51,'Age data'!$A$3:$AE$254,9,FALSE)),ISBLANK(VLOOKUP($Y$7&amp;$AB51&amp;$Z51,'Age data'!$A$3:$AE$254,9,FALSE))),"",VLOOKUP($Y$7&amp;$AB51&amp;$Z51,'Age data'!$A$3:$AE$254,9,FALSE))</f>
        <v>1.8086347724620769E-2</v>
      </c>
      <c r="AH51" s="20">
        <f>IF(OR(ISERROR(VLOOKUP($Y$7&amp;$AB51&amp;$Z51,'Age data'!$A$3:$AE$254,10,FALSE)),ISBLANK(VLOOKUP($Y$7&amp;$AB51&amp;$Z51,'Age data'!$A$3:$AE$254,10,FALSE))),"",VLOOKUP($Y$7&amp;$AB51&amp;$Z51,'Age data'!$A$3:$AE$254,10,FALSE))</f>
        <v>3.5005834305717621E-3</v>
      </c>
      <c r="AI51" s="20">
        <f>IF(OR(ISERROR(VLOOKUP($Y$7&amp;$AB51&amp;$Z51,'Age data'!$A$3:$AE$254,11,FALSE)),ISBLANK(VLOOKUP($Y$7&amp;$AB51&amp;$Z51,'Age data'!$A$3:$AE$254,11,FALSE))),"",VLOOKUP($Y$7&amp;$AB51&amp;$Z51,'Age data'!$A$3:$AE$254,11,FALSE))</f>
        <v>0.8856476079346558</v>
      </c>
      <c r="AJ51" s="20">
        <f>IF(OR(ISERROR(VLOOKUP($Y$7&amp;$AB51&amp;$Z51,'Age data'!$A$3:$AE$254,12,FALSE)),ISBLANK(VLOOKUP($Y$7&amp;$AB51&amp;$Z51,'Age data'!$A$3:$AE$254,12,FALSE))),"",VLOOKUP($Y$7&amp;$AB51&amp;$Z51,'Age data'!$A$3:$AE$254,12,FALSE))</f>
        <v>0</v>
      </c>
      <c r="AK51" s="62"/>
    </row>
    <row r="52" spans="4:37" x14ac:dyDescent="0.25">
      <c r="Y52" s="25"/>
      <c r="Z52" s="25" t="s">
        <v>12</v>
      </c>
      <c r="AA52" s="125"/>
      <c r="AB52" s="25" t="s">
        <v>4</v>
      </c>
      <c r="AC52" s="20">
        <f>IF(OR(ISERROR(VLOOKUP($Y$7&amp;$AB52&amp;$Z52,'Age data'!$A$3:$AE$254,5,FALSE)),ISBLANK(VLOOKUP($Y$7&amp;$AB52&amp;$Z52,'Age data'!$A$3:$AE$254,5,FALSE))),"",VLOOKUP($Y$7&amp;$AB52&amp;$Z52,'Age data'!$A$3:$AE$254,5,FALSE))</f>
        <v>0.10460251046025104</v>
      </c>
      <c r="AD52" s="20">
        <f>IF(OR(ISERROR(VLOOKUP($Y$7&amp;$AB52&amp;$Z52,'Age data'!$A$3:$AE$254,6,FALSE)),ISBLANK(VLOOKUP($Y$7&amp;$AB52&amp;$Z52,'Age data'!$A$3:$AE$254,6,FALSE))),"",VLOOKUP($Y$7&amp;$AB52&amp;$Z52,'Age data'!$A$3:$AE$254,6,FALSE))</f>
        <v>8.368200836820083E-3</v>
      </c>
      <c r="AE52" s="20">
        <f>IF(OR(ISERROR(VLOOKUP($Y$7&amp;$AB52&amp;$Z52,'Age data'!$A$3:$AE$254,7,FALSE)),ISBLANK(VLOOKUP($Y$7&amp;$AB52&amp;$Z52,'Age data'!$A$3:$AE$254,7,FALSE))),"",VLOOKUP($Y$7&amp;$AB52&amp;$Z52,'Age data'!$A$3:$AE$254,7,FALSE))</f>
        <v>2.5104602510460251E-2</v>
      </c>
      <c r="AF52" s="20">
        <f>IF(OR(ISERROR(VLOOKUP($Y$7&amp;$AB52&amp;$Z52,'Age data'!$A$3:$AE$254,8,FALSE)),ISBLANK(VLOOKUP($Y$7&amp;$AB52&amp;$Z52,'Age data'!$A$3:$AE$254,8,FALSE))),"",VLOOKUP($Y$7&amp;$AB52&amp;$Z52,'Age data'!$A$3:$AE$254,8,FALSE))</f>
        <v>0</v>
      </c>
      <c r="AG52" s="20">
        <f>IF(OR(ISERROR(VLOOKUP($Y$7&amp;$AB52&amp;$Z52,'Age data'!$A$3:$AE$254,9,FALSE)),ISBLANK(VLOOKUP($Y$7&amp;$AB52&amp;$Z52,'Age data'!$A$3:$AE$254,9,FALSE))),"",VLOOKUP($Y$7&amp;$AB52&amp;$Z52,'Age data'!$A$3:$AE$254,9,FALSE))</f>
        <v>3.3472803347280332E-2</v>
      </c>
      <c r="AH52" s="20">
        <f>IF(OR(ISERROR(VLOOKUP($Y$7&amp;$AB52&amp;$Z52,'Age data'!$A$3:$AE$254,10,FALSE)),ISBLANK(VLOOKUP($Y$7&amp;$AB52&amp;$Z52,'Age data'!$A$3:$AE$254,10,FALSE))),"",VLOOKUP($Y$7&amp;$AB52&amp;$Z52,'Age data'!$A$3:$AE$254,10,FALSE))</f>
        <v>0</v>
      </c>
      <c r="AI52" s="20">
        <f>IF(OR(ISERROR(VLOOKUP($Y$7&amp;$AB52&amp;$Z52,'Age data'!$A$3:$AE$254,11,FALSE)),ISBLANK(VLOOKUP($Y$7&amp;$AB52&amp;$Z52,'Age data'!$A$3:$AE$254,11,FALSE))),"",VLOOKUP($Y$7&amp;$AB52&amp;$Z52,'Age data'!$A$3:$AE$254,11,FALSE))</f>
        <v>0.82845188284518834</v>
      </c>
      <c r="AJ52" s="20">
        <f>IF(OR(ISERROR(VLOOKUP($Y$7&amp;$AB52&amp;$Z52,'Age data'!$A$3:$AE$254,12,FALSE)),ISBLANK(VLOOKUP($Y$7&amp;$AB52&amp;$Z52,'Age data'!$A$3:$AE$254,12,FALSE))),"",VLOOKUP($Y$7&amp;$AB52&amp;$Z52,'Age data'!$A$3:$AE$254,12,FALSE))</f>
        <v>0</v>
      </c>
      <c r="AK52" s="62"/>
    </row>
    <row r="53" spans="4:37" x14ac:dyDescent="0.25">
      <c r="Y53" s="25"/>
      <c r="Z53" s="25" t="s">
        <v>12</v>
      </c>
      <c r="AA53" s="125"/>
      <c r="AB53" s="25" t="s">
        <v>34</v>
      </c>
      <c r="AC53" s="20">
        <f>IF(OR(ISERROR(VLOOKUP($Y$7&amp;$AB53&amp;$Z53,'Age data'!$A$3:$AE$254,5,FALSE)),ISBLANK(VLOOKUP($Y$7&amp;$AB53&amp;$Z53,'Age data'!$A$3:$AE$254,5,FALSE))),"",VLOOKUP($Y$7&amp;$AB53&amp;$Z53,'Age data'!$A$3:$AE$254,5,FALSE))</f>
        <v>0.15949345426542311</v>
      </c>
      <c r="AD53" s="20">
        <f>IF(OR(ISERROR(VLOOKUP($Y$7&amp;$AB53&amp;$Z53,'Age data'!$A$3:$AE$254,6,FALSE)),ISBLANK(VLOOKUP($Y$7&amp;$AB53&amp;$Z53,'Age data'!$A$3:$AE$254,6,FALSE))),"",VLOOKUP($Y$7&amp;$AB53&amp;$Z53,'Age data'!$A$3:$AE$254,6,FALSE))</f>
        <v>1.0011123470522803E-2</v>
      </c>
      <c r="AE53" s="20">
        <f>IF(OR(ISERROR(VLOOKUP($Y$7&amp;$AB53&amp;$Z53,'Age data'!$A$3:$AE$254,7,FALSE)),ISBLANK(VLOOKUP($Y$7&amp;$AB53&amp;$Z53,'Age data'!$A$3:$AE$254,7,FALSE))),"",VLOOKUP($Y$7&amp;$AB53&amp;$Z53,'Age data'!$A$3:$AE$254,7,FALSE))</f>
        <v>3.0546761358774707E-2</v>
      </c>
      <c r="AF53" s="20">
        <f>IF(OR(ISERROR(VLOOKUP($Y$7&amp;$AB53&amp;$Z53,'Age data'!$A$3:$AE$254,8,FALSE)),ISBLANK(VLOOKUP($Y$7&amp;$AB53&amp;$Z53,'Age data'!$A$3:$AE$254,8,FALSE))),"",VLOOKUP($Y$7&amp;$AB53&amp;$Z53,'Age data'!$A$3:$AE$254,8,FALSE))</f>
        <v>1.8824334730897579E-3</v>
      </c>
      <c r="AG53" s="20">
        <f>IF(OR(ISERROR(VLOOKUP($Y$7&amp;$AB53&amp;$Z53,'Age data'!$A$3:$AE$254,9,FALSE)),ISBLANK(VLOOKUP($Y$7&amp;$AB53&amp;$Z53,'Age data'!$A$3:$AE$254,9,FALSE))),"",VLOOKUP($Y$7&amp;$AB53&amp;$Z53,'Age data'!$A$3:$AE$254,9,FALSE))</f>
        <v>0.10071019081030204</v>
      </c>
      <c r="AH53" s="20">
        <f>IF(OR(ISERROR(VLOOKUP($Y$7&amp;$AB53&amp;$Z53,'Age data'!$A$3:$AE$254,10,FALSE)),ISBLANK(VLOOKUP($Y$7&amp;$AB53&amp;$Z53,'Age data'!$A$3:$AE$254,10,FALSE))),"",VLOOKUP($Y$7&amp;$AB53&amp;$Z53,'Age data'!$A$3:$AE$254,10,FALSE))</f>
        <v>2.3958244202960553E-3</v>
      </c>
      <c r="AI53" s="20">
        <f>IF(OR(ISERROR(VLOOKUP($Y$7&amp;$AB53&amp;$Z53,'Age data'!$A$3:$AE$254,11,FALSE)),ISBLANK(VLOOKUP($Y$7&amp;$AB53&amp;$Z53,'Age data'!$A$3:$AE$254,11,FALSE))),"",VLOOKUP($Y$7&amp;$AB53&amp;$Z53,'Age data'!$A$3:$AE$254,11,FALSE))</f>
        <v>0.69187986651835376</v>
      </c>
      <c r="AJ53" s="20">
        <f>IF(OR(ISERROR(VLOOKUP($Y$7&amp;$AB53&amp;$Z53,'Age data'!$A$3:$AE$254,12,FALSE)),ISBLANK(VLOOKUP($Y$7&amp;$AB53&amp;$Z53,'Age data'!$A$3:$AE$254,12,FALSE))),"",VLOOKUP($Y$7&amp;$AB53&amp;$Z53,'Age data'!$A$3:$AE$254,12,FALSE))</f>
        <v>3.0803456832377858E-3</v>
      </c>
      <c r="AK53" s="62"/>
    </row>
    <row r="54" spans="4:37" x14ac:dyDescent="0.25">
      <c r="Y54" s="25"/>
      <c r="Z54" s="25"/>
      <c r="AA54" s="25"/>
      <c r="AB54" s="25"/>
      <c r="AC54" s="25"/>
      <c r="AD54" s="25"/>
      <c r="AE54" s="25"/>
      <c r="AF54" s="25"/>
      <c r="AG54" s="25"/>
      <c r="AH54" s="25"/>
      <c r="AI54" s="25"/>
      <c r="AJ54" s="25"/>
    </row>
    <row r="55" spans="4:37" x14ac:dyDescent="0.25">
      <c r="Y55" s="25"/>
      <c r="Z55" s="25"/>
      <c r="AA55" s="25"/>
      <c r="AB55" s="25"/>
      <c r="AC55" s="25"/>
      <c r="AD55" s="25"/>
      <c r="AE55" s="25"/>
      <c r="AF55" s="25"/>
      <c r="AG55" s="25"/>
      <c r="AH55" s="25"/>
      <c r="AI55" s="25"/>
      <c r="AJ55" s="25"/>
    </row>
    <row r="56" spans="4:37" x14ac:dyDescent="0.25">
      <c r="Y56" s="25"/>
      <c r="Z56" s="25"/>
      <c r="AA56" s="25"/>
      <c r="AB56" s="25"/>
      <c r="AC56" s="25"/>
      <c r="AD56" s="25"/>
      <c r="AE56" s="25"/>
      <c r="AF56" s="25"/>
      <c r="AG56" s="25"/>
      <c r="AH56" s="25"/>
      <c r="AI56" s="25"/>
      <c r="AJ56" s="25"/>
    </row>
    <row r="57" spans="4:37" ht="87.75" x14ac:dyDescent="0.25">
      <c r="Y57" s="25" t="s">
        <v>41</v>
      </c>
      <c r="Z57" s="25" t="s">
        <v>37</v>
      </c>
      <c r="AA57" s="25" t="s">
        <v>121</v>
      </c>
      <c r="AB57" s="25" t="s">
        <v>45</v>
      </c>
      <c r="AC57" s="19" t="s">
        <v>22</v>
      </c>
      <c r="AD57" s="19" t="s">
        <v>23</v>
      </c>
      <c r="AE57" s="19" t="s">
        <v>24</v>
      </c>
      <c r="AF57" s="19" t="s">
        <v>25</v>
      </c>
      <c r="AG57" s="19" t="s">
        <v>26</v>
      </c>
      <c r="AH57" s="19" t="s">
        <v>27</v>
      </c>
      <c r="AI57" s="19" t="s">
        <v>28</v>
      </c>
      <c r="AJ57" s="19" t="s">
        <v>117</v>
      </c>
    </row>
    <row r="58" spans="4:37" x14ac:dyDescent="0.25">
      <c r="Y58" s="25" t="str">
        <f>Lookups!A10</f>
        <v>Breast</v>
      </c>
      <c r="Z58" s="25" t="s">
        <v>0</v>
      </c>
      <c r="AA58" s="125" t="s">
        <v>0</v>
      </c>
      <c r="AB58" s="25" t="s">
        <v>7</v>
      </c>
      <c r="AC58" s="20">
        <f>IF(OR(ISERROR(VLOOKUP($Y$58&amp;$Z58&amp;$AB58,'Age data'!$A$3:$AE$254,5,FALSE)),ISBLANK(VLOOKUP($Y$58&amp;$Z58&amp;$AB58,'Age data'!$A$3:$AE$254,5,FALSE))),"",VLOOKUP($Y$58&amp;$Z58&amp;$AB58,'Age data'!$A$3:$AE$254,5,FALSE))</f>
        <v>0.13500000000000001</v>
      </c>
      <c r="AD58" s="20">
        <f>IF(OR(ISERROR(VLOOKUP($Y$58&amp;$Z58&amp;$AB58,'Age data'!$A$3:$AE$254,6,FALSE)),ISBLANK(VLOOKUP($Y$58&amp;$Z58&amp;$AB58,'Age data'!$A$3:$AE$254,6,FALSE))),"",VLOOKUP($Y$58&amp;$Z58&amp;$AB58,'Age data'!$A$3:$AE$254,6,FALSE))</f>
        <v>5.909090909090909E-3</v>
      </c>
      <c r="AE58" s="20">
        <f>IF(OR(ISERROR(VLOOKUP($Y$58&amp;$Z58&amp;$AB58,'Age data'!$A$3:$AE$254,7,FALSE)),ISBLANK(VLOOKUP($Y$58&amp;$Z58&amp;$AB58,'Age data'!$A$3:$AE$254,7,FALSE))),"",VLOOKUP($Y$58&amp;$Z58&amp;$AB58,'Age data'!$A$3:$AE$254,7,FALSE))</f>
        <v>9.5454545454545462E-3</v>
      </c>
      <c r="AF58" s="20">
        <f>IF(OR(ISERROR(VLOOKUP($Y$58&amp;$Z58&amp;$AB58,'Age data'!$A$3:$AE$254,8,FALSE)),ISBLANK(VLOOKUP($Y$58&amp;$Z58&amp;$AB58,'Age data'!$A$3:$AE$254,8,FALSE))),"",VLOOKUP($Y$58&amp;$Z58&amp;$AB58,'Age data'!$A$3:$AE$254,8,FALSE))</f>
        <v>7.6818181818181813E-2</v>
      </c>
      <c r="AG58" s="20">
        <f>IF(OR(ISERROR(VLOOKUP($Y$58&amp;$Z58&amp;$AB58,'Age data'!$A$3:$AE$254,9,FALSE)),ISBLANK(VLOOKUP($Y$58&amp;$Z58&amp;$AB58,'Age data'!$A$3:$AE$254,9,FALSE))),"",VLOOKUP($Y$58&amp;$Z58&amp;$AB58,'Age data'!$A$3:$AE$254,9,FALSE))</f>
        <v>0.45954545454545453</v>
      </c>
      <c r="AH58" s="20">
        <f>IF(OR(ISERROR(VLOOKUP($Y$58&amp;$Z58&amp;$AB58,'Age data'!$A$3:$AE$254,10,FALSE)),ISBLANK(VLOOKUP($Y$58&amp;$Z58&amp;$AB58,'Age data'!$A$3:$AE$254,10,FALSE))),"",VLOOKUP($Y$58&amp;$Z58&amp;$AB58,'Age data'!$A$3:$AE$254,10,FALSE))</f>
        <v>4.0909090909090912E-3</v>
      </c>
      <c r="AI58" s="20">
        <f>IF(OR(ISERROR(VLOOKUP($Y$58&amp;$Z58&amp;$AB58,'Age data'!$A$3:$AE$254,11,FALSE)),ISBLANK(VLOOKUP($Y$58&amp;$Z58&amp;$AB58,'Age data'!$A$3:$AE$254,11,FALSE))),"",VLOOKUP($Y$58&amp;$Z58&amp;$AB58,'Age data'!$A$3:$AE$254,11,FALSE))</f>
        <v>1.9090909090909092E-2</v>
      </c>
      <c r="AJ58" s="20">
        <f>IF(OR(ISERROR(VLOOKUP($Y$58&amp;$Z58&amp;$AB58,'Age data'!$A$3:$AE$254,12,FALSE)),ISBLANK(VLOOKUP($Y$58&amp;$Z58&amp;$AB58,'Age data'!$A$3:$AE$254,12,FALSE))),"",VLOOKUP($Y$58&amp;$Z58&amp;$AB58,'Age data'!$A$3:$AE$254,12,FALSE))</f>
        <v>0.28999999999999998</v>
      </c>
    </row>
    <row r="59" spans="4:37" x14ac:dyDescent="0.25">
      <c r="Y59" s="25"/>
      <c r="Z59" s="25" t="s">
        <v>0</v>
      </c>
      <c r="AA59" s="125"/>
      <c r="AB59" s="25" t="s">
        <v>8</v>
      </c>
      <c r="AC59" s="20">
        <f>IF(OR(ISERROR(VLOOKUP($Y$58&amp;$Z59&amp;$AB59,'Age data'!$A$3:$AE$254,5,FALSE)),ISBLANK(VLOOKUP($Y$58&amp;$Z59&amp;$AB59,'Age data'!$A$3:$AE$254,5,FALSE))),"",VLOOKUP($Y$58&amp;$Z59&amp;$AB59,'Age data'!$A$3:$AE$254,5,FALSE))</f>
        <v>0.12891274761832755</v>
      </c>
      <c r="AD59" s="20">
        <f>IF(OR(ISERROR(VLOOKUP($Y$58&amp;$Z59&amp;$AB59,'Age data'!$A$3:$AE$254,6,FALSE)),ISBLANK(VLOOKUP($Y$58&amp;$Z59&amp;$AB59,'Age data'!$A$3:$AE$254,6,FALSE))),"",VLOOKUP($Y$58&amp;$Z59&amp;$AB59,'Age data'!$A$3:$AE$254,6,FALSE))</f>
        <v>3.8560411311053984E-3</v>
      </c>
      <c r="AE59" s="20">
        <f>IF(OR(ISERROR(VLOOKUP($Y$58&amp;$Z59&amp;$AB59,'Age data'!$A$3:$AE$254,7,FALSE)),ISBLANK(VLOOKUP($Y$58&amp;$Z59&amp;$AB59,'Age data'!$A$3:$AE$254,7,FALSE))),"",VLOOKUP($Y$58&amp;$Z59&amp;$AB59,'Age data'!$A$3:$AE$254,7,FALSE))</f>
        <v>1.2021775291093301E-2</v>
      </c>
      <c r="AF59" s="20">
        <f>IF(OR(ISERROR(VLOOKUP($Y$58&amp;$Z59&amp;$AB59,'Age data'!$A$3:$AE$254,8,FALSE)),ISBLANK(VLOOKUP($Y$58&amp;$Z59&amp;$AB59,'Age data'!$A$3:$AE$254,8,FALSE))),"",VLOOKUP($Y$58&amp;$Z59&amp;$AB59,'Age data'!$A$3:$AE$254,8,FALSE))</f>
        <v>4.7709057916225615E-2</v>
      </c>
      <c r="AG59" s="20">
        <f>IF(OR(ISERROR(VLOOKUP($Y$58&amp;$Z59&amp;$AB59,'Age data'!$A$3:$AE$254,9,FALSE)),ISBLANK(VLOOKUP($Y$58&amp;$Z59&amp;$AB59,'Age data'!$A$3:$AE$254,9,FALSE))),"",VLOOKUP($Y$58&amp;$Z59&amp;$AB59,'Age data'!$A$3:$AE$254,9,FALSE))</f>
        <v>0.52653863601996065</v>
      </c>
      <c r="AH59" s="20">
        <f>IF(OR(ISERROR(VLOOKUP($Y$58&amp;$Z59&amp;$AB59,'Age data'!$A$3:$AE$254,10,FALSE)),ISBLANK(VLOOKUP($Y$58&amp;$Z59&amp;$AB59,'Age data'!$A$3:$AE$254,10,FALSE))),"",VLOOKUP($Y$58&amp;$Z59&amp;$AB59,'Age data'!$A$3:$AE$254,10,FALSE))</f>
        <v>4.7633449266596102E-3</v>
      </c>
      <c r="AI59" s="20">
        <f>IF(OR(ISERROR(VLOOKUP($Y$58&amp;$Z59&amp;$AB59,'Age data'!$A$3:$AE$254,11,FALSE)),ISBLANK(VLOOKUP($Y$58&amp;$Z59&amp;$AB59,'Age data'!$A$3:$AE$254,11,FALSE))),"",VLOOKUP($Y$58&amp;$Z59&amp;$AB59,'Age data'!$A$3:$AE$254,11,FALSE))</f>
        <v>2.003629215182217E-2</v>
      </c>
      <c r="AJ59" s="20">
        <f>IF(OR(ISERROR(VLOOKUP($Y$58&amp;$Z59&amp;$AB59,'Age data'!$A$3:$AE$254,12,FALSE)),ISBLANK(VLOOKUP($Y$58&amp;$Z59&amp;$AB59,'Age data'!$A$3:$AE$254,12,FALSE))),"",VLOOKUP($Y$58&amp;$Z59&amp;$AB59,'Age data'!$A$3:$AE$254,12,FALSE))</f>
        <v>0.25616210494480568</v>
      </c>
    </row>
    <row r="60" spans="4:37" x14ac:dyDescent="0.25">
      <c r="Y60" s="25"/>
      <c r="Z60" s="25" t="s">
        <v>0</v>
      </c>
      <c r="AA60" s="125"/>
      <c r="AB60" s="25" t="s">
        <v>9</v>
      </c>
      <c r="AC60" s="20">
        <f>IF(OR(ISERROR(VLOOKUP($Y$58&amp;$Z60&amp;$AB60,'Age data'!$A$3:$AE$254,5,FALSE)),ISBLANK(VLOOKUP($Y$58&amp;$Z60&amp;$AB60,'Age data'!$A$3:$AE$254,5,FALSE))),"",VLOOKUP($Y$58&amp;$Z60&amp;$AB60,'Age data'!$A$3:$AE$254,5,FALSE))</f>
        <v>0.13795927280668233</v>
      </c>
      <c r="AD60" s="20">
        <f>IF(OR(ISERROR(VLOOKUP($Y$58&amp;$Z60&amp;$AB60,'Age data'!$A$3:$AE$254,6,FALSE)),ISBLANK(VLOOKUP($Y$58&amp;$Z60&amp;$AB60,'Age data'!$A$3:$AE$254,6,FALSE))),"",VLOOKUP($Y$58&amp;$Z60&amp;$AB60,'Age data'!$A$3:$AE$254,6,FALSE))</f>
        <v>2.7842987388764537E-3</v>
      </c>
      <c r="AE60" s="20">
        <f>IF(OR(ISERROR(VLOOKUP($Y$58&amp;$Z60&amp;$AB60,'Age data'!$A$3:$AE$254,7,FALSE)),ISBLANK(VLOOKUP($Y$58&amp;$Z60&amp;$AB60,'Age data'!$A$3:$AE$254,7,FALSE))),"",VLOOKUP($Y$58&amp;$Z60&amp;$AB60,'Age data'!$A$3:$AE$254,7,FALSE))</f>
        <v>8.0799257520336298E-3</v>
      </c>
      <c r="AF60" s="20">
        <f>IF(OR(ISERROR(VLOOKUP($Y$58&amp;$Z60&amp;$AB60,'Age data'!$A$3:$AE$254,8,FALSE)),ISBLANK(VLOOKUP($Y$58&amp;$Z60&amp;$AB60,'Age data'!$A$3:$AE$254,8,FALSE))),"",VLOOKUP($Y$58&amp;$Z60&amp;$AB60,'Age data'!$A$3:$AE$254,8,FALSE))</f>
        <v>3.4012119888628053E-2</v>
      </c>
      <c r="AG60" s="20">
        <f>IF(OR(ISERROR(VLOOKUP($Y$58&amp;$Z60&amp;$AB60,'Age data'!$A$3:$AE$254,9,FALSE)),ISBLANK(VLOOKUP($Y$58&amp;$Z60&amp;$AB60,'Age data'!$A$3:$AE$254,9,FALSE))),"",VLOOKUP($Y$58&amp;$Z60&amp;$AB60,'Age data'!$A$3:$AE$254,9,FALSE))</f>
        <v>0.62346454113664906</v>
      </c>
      <c r="AH60" s="20">
        <f>IF(OR(ISERROR(VLOOKUP($Y$58&amp;$Z60&amp;$AB60,'Age data'!$A$3:$AE$254,10,FALSE)),ISBLANK(VLOOKUP($Y$58&amp;$Z60&amp;$AB60,'Age data'!$A$3:$AE$254,10,FALSE))),"",VLOOKUP($Y$58&amp;$Z60&amp;$AB60,'Age data'!$A$3:$AE$254,10,FALSE))</f>
        <v>3.5486160397444995E-3</v>
      </c>
      <c r="AI60" s="20">
        <f>IF(OR(ISERROR(VLOOKUP($Y$58&amp;$Z60&amp;$AB60,'Age data'!$A$3:$AE$254,11,FALSE)),ISBLANK(VLOOKUP($Y$58&amp;$Z60&amp;$AB60,'Age data'!$A$3:$AE$254,11,FALSE))),"",VLOOKUP($Y$58&amp;$Z60&amp;$AB60,'Age data'!$A$3:$AE$254,11,FALSE))</f>
        <v>1.9271714800458591E-2</v>
      </c>
      <c r="AJ60" s="20">
        <f>IF(OR(ISERROR(VLOOKUP($Y$58&amp;$Z60&amp;$AB60,'Age data'!$A$3:$AE$254,12,FALSE)),ISBLANK(VLOOKUP($Y$58&amp;$Z60&amp;$AB60,'Age data'!$A$3:$AE$254,12,FALSE))),"",VLOOKUP($Y$58&amp;$Z60&amp;$AB60,'Age data'!$A$3:$AE$254,12,FALSE))</f>
        <v>0.17087951083692746</v>
      </c>
    </row>
    <row r="61" spans="4:37" x14ac:dyDescent="0.25">
      <c r="Y61" s="25"/>
      <c r="Z61" s="25" t="s">
        <v>0</v>
      </c>
      <c r="AA61" s="125"/>
      <c r="AB61" s="25" t="s">
        <v>10</v>
      </c>
      <c r="AC61" s="20">
        <f>IF(OR(ISERROR(VLOOKUP($Y$58&amp;$Z61&amp;$AB61,'Age data'!$A$3:$AE$254,5,FALSE)),ISBLANK(VLOOKUP($Y$58&amp;$Z61&amp;$AB61,'Age data'!$A$3:$AE$254,5,FALSE))),"",VLOOKUP($Y$58&amp;$Z61&amp;$AB61,'Age data'!$A$3:$AE$254,5,FALSE))</f>
        <v>0.19570617459190914</v>
      </c>
      <c r="AD61" s="20">
        <f>IF(OR(ISERROR(VLOOKUP($Y$58&amp;$Z61&amp;$AB61,'Age data'!$A$3:$AE$254,6,FALSE)),ISBLANK(VLOOKUP($Y$58&amp;$Z61&amp;$AB61,'Age data'!$A$3:$AE$254,6,FALSE))),"",VLOOKUP($Y$58&amp;$Z61&amp;$AB61,'Age data'!$A$3:$AE$254,6,FALSE))</f>
        <v>1.9517388218594747E-3</v>
      </c>
      <c r="AE61" s="20">
        <f>IF(OR(ISERROR(VLOOKUP($Y$58&amp;$Z61&amp;$AB61,'Age data'!$A$3:$AE$254,7,FALSE)),ISBLANK(VLOOKUP($Y$58&amp;$Z61&amp;$AB61,'Age data'!$A$3:$AE$254,7,FALSE))),"",VLOOKUP($Y$58&amp;$Z61&amp;$AB61,'Age data'!$A$3:$AE$254,7,FALSE))</f>
        <v>7.9843860894251249E-3</v>
      </c>
      <c r="AF61" s="20">
        <f>IF(OR(ISERROR(VLOOKUP($Y$58&amp;$Z61&amp;$AB61,'Age data'!$A$3:$AE$254,8,FALSE)),ISBLANK(VLOOKUP($Y$58&amp;$Z61&amp;$AB61,'Age data'!$A$3:$AE$254,8,FALSE))),"",VLOOKUP($Y$58&amp;$Z61&amp;$AB61,'Age data'!$A$3:$AE$254,8,FALSE))</f>
        <v>2.0759403832505324E-2</v>
      </c>
      <c r="AG61" s="20">
        <f>IF(OR(ISERROR(VLOOKUP($Y$58&amp;$Z61&amp;$AB61,'Age data'!$A$3:$AE$254,9,FALSE)),ISBLANK(VLOOKUP($Y$58&amp;$Z61&amp;$AB61,'Age data'!$A$3:$AE$254,9,FALSE))),"",VLOOKUP($Y$58&amp;$Z61&amp;$AB61,'Age data'!$A$3:$AE$254,9,FALSE))</f>
        <v>0.65134847409510288</v>
      </c>
      <c r="AH61" s="20">
        <f>IF(OR(ISERROR(VLOOKUP($Y$58&amp;$Z61&amp;$AB61,'Age data'!$A$3:$AE$254,10,FALSE)),ISBLANK(VLOOKUP($Y$58&amp;$Z61&amp;$AB61,'Age data'!$A$3:$AE$254,10,FALSE))),"",VLOOKUP($Y$58&amp;$Z61&amp;$AB61,'Age data'!$A$3:$AE$254,10,FALSE))</f>
        <v>1.4194464158977999E-3</v>
      </c>
      <c r="AI61" s="20">
        <f>IF(OR(ISERROR(VLOOKUP($Y$58&amp;$Z61&amp;$AB61,'Age data'!$A$3:$AE$254,11,FALSE)),ISBLANK(VLOOKUP($Y$58&amp;$Z61&amp;$AB61,'Age data'!$A$3:$AE$254,11,FALSE))),"",VLOOKUP($Y$58&amp;$Z61&amp;$AB61,'Age data'!$A$3:$AE$254,11,FALSE))</f>
        <v>2.6082327892122073E-2</v>
      </c>
      <c r="AJ61" s="20">
        <f>IF(OR(ISERROR(VLOOKUP($Y$58&amp;$Z61&amp;$AB61,'Age data'!$A$3:$AE$254,12,FALSE)),ISBLANK(VLOOKUP($Y$58&amp;$Z61&amp;$AB61,'Age data'!$A$3:$AE$254,12,FALSE))),"",VLOOKUP($Y$58&amp;$Z61&amp;$AB61,'Age data'!$A$3:$AE$254,12,FALSE))</f>
        <v>9.4748048261178136E-2</v>
      </c>
    </row>
    <row r="62" spans="4:37" x14ac:dyDescent="0.25">
      <c r="Y62" s="25"/>
      <c r="Z62" s="25" t="s">
        <v>0</v>
      </c>
      <c r="AA62" s="125"/>
      <c r="AB62" s="25" t="s">
        <v>11</v>
      </c>
      <c r="AC62" s="20">
        <f>IF(OR(ISERROR(VLOOKUP($Y$58&amp;$Z62&amp;$AB62,'Age data'!$A$3:$AE$254,5,FALSE)),ISBLANK(VLOOKUP($Y$58&amp;$Z62&amp;$AB62,'Age data'!$A$3:$AE$254,5,FALSE))),"",VLOOKUP($Y$58&amp;$Z62&amp;$AB62,'Age data'!$A$3:$AE$254,5,FALSE))</f>
        <v>0.28117913832199548</v>
      </c>
      <c r="AD62" s="20">
        <f>IF(OR(ISERROR(VLOOKUP($Y$58&amp;$Z62&amp;$AB62,'Age data'!$A$3:$AE$254,6,FALSE)),ISBLANK(VLOOKUP($Y$58&amp;$Z62&amp;$AB62,'Age data'!$A$3:$AE$254,6,FALSE))),"",VLOOKUP($Y$58&amp;$Z62&amp;$AB62,'Age data'!$A$3:$AE$254,6,FALSE))</f>
        <v>0</v>
      </c>
      <c r="AE62" s="20">
        <f>IF(OR(ISERROR(VLOOKUP($Y$58&amp;$Z62&amp;$AB62,'Age data'!$A$3:$AE$254,7,FALSE)),ISBLANK(VLOOKUP($Y$58&amp;$Z62&amp;$AB62,'Age data'!$A$3:$AE$254,7,FALSE))),"",VLOOKUP($Y$58&amp;$Z62&amp;$AB62,'Age data'!$A$3:$AE$254,7,FALSE))</f>
        <v>9.0702947845804991E-3</v>
      </c>
      <c r="AF62" s="20">
        <f>IF(OR(ISERROR(VLOOKUP($Y$58&amp;$Z62&amp;$AB62,'Age data'!$A$3:$AE$254,8,FALSE)),ISBLANK(VLOOKUP($Y$58&amp;$Z62&amp;$AB62,'Age data'!$A$3:$AE$254,8,FALSE))),"",VLOOKUP($Y$58&amp;$Z62&amp;$AB62,'Age data'!$A$3:$AE$254,8,FALSE))</f>
        <v>1.1337868480725623E-2</v>
      </c>
      <c r="AG62" s="20">
        <f>IF(OR(ISERROR(VLOOKUP($Y$58&amp;$Z62&amp;$AB62,'Age data'!$A$3:$AE$254,9,FALSE)),ISBLANK(VLOOKUP($Y$58&amp;$Z62&amp;$AB62,'Age data'!$A$3:$AE$254,9,FALSE))),"",VLOOKUP($Y$58&amp;$Z62&amp;$AB62,'Age data'!$A$3:$AE$254,9,FALSE))</f>
        <v>0.60317460317460314</v>
      </c>
      <c r="AH62" s="20">
        <f>IF(OR(ISERROR(VLOOKUP($Y$58&amp;$Z62&amp;$AB62,'Age data'!$A$3:$AE$254,10,FALSE)),ISBLANK(VLOOKUP($Y$58&amp;$Z62&amp;$AB62,'Age data'!$A$3:$AE$254,10,FALSE))),"",VLOOKUP($Y$58&amp;$Z62&amp;$AB62,'Age data'!$A$3:$AE$254,10,FALSE))</f>
        <v>0</v>
      </c>
      <c r="AI62" s="20">
        <f>IF(OR(ISERROR(VLOOKUP($Y$58&amp;$Z62&amp;$AB62,'Age data'!$A$3:$AE$254,11,FALSE)),ISBLANK(VLOOKUP($Y$58&amp;$Z62&amp;$AB62,'Age data'!$A$3:$AE$254,11,FALSE))),"",VLOOKUP($Y$58&amp;$Z62&amp;$AB62,'Age data'!$A$3:$AE$254,11,FALSE))</f>
        <v>7.2562358276643993E-2</v>
      </c>
      <c r="AJ62" s="20">
        <f>IF(OR(ISERROR(VLOOKUP($Y$58&amp;$Z62&amp;$AB62,'Age data'!$A$3:$AE$254,12,FALSE)),ISBLANK(VLOOKUP($Y$58&amp;$Z62&amp;$AB62,'Age data'!$A$3:$AE$254,12,FALSE))),"",VLOOKUP($Y$58&amp;$Z62&amp;$AB62,'Age data'!$A$3:$AE$254,12,FALSE))</f>
        <v>2.2675736961451247E-2</v>
      </c>
    </row>
    <row r="63" spans="4:37" x14ac:dyDescent="0.25">
      <c r="Y63" s="25"/>
      <c r="Z63" s="25" t="s">
        <v>0</v>
      </c>
      <c r="AA63" s="125"/>
      <c r="AB63" s="25" t="s">
        <v>12</v>
      </c>
      <c r="AC63" s="20">
        <f>IF(OR(ISERROR(VLOOKUP($Y$58&amp;$Z63&amp;$AB63,'Age data'!$A$3:$AE$254,5,FALSE)),ISBLANK(VLOOKUP($Y$58&amp;$Z63&amp;$AB63,'Age data'!$A$3:$AE$254,5,FALSE))),"",VLOOKUP($Y$58&amp;$Z63&amp;$AB63,'Age data'!$A$3:$AE$254,5,FALSE))</f>
        <v>0.33333333333333331</v>
      </c>
      <c r="AD63" s="20">
        <f>IF(OR(ISERROR(VLOOKUP($Y$58&amp;$Z63&amp;$AB63,'Age data'!$A$3:$AE$254,6,FALSE)),ISBLANK(VLOOKUP($Y$58&amp;$Z63&amp;$AB63,'Age data'!$A$3:$AE$254,6,FALSE))),"",VLOOKUP($Y$58&amp;$Z63&amp;$AB63,'Age data'!$A$3:$AE$254,6,FALSE))</f>
        <v>0</v>
      </c>
      <c r="AE63" s="20">
        <f>IF(OR(ISERROR(VLOOKUP($Y$58&amp;$Z63&amp;$AB63,'Age data'!$A$3:$AE$254,7,FALSE)),ISBLANK(VLOOKUP($Y$58&amp;$Z63&amp;$AB63,'Age data'!$A$3:$AE$254,7,FALSE))),"",VLOOKUP($Y$58&amp;$Z63&amp;$AB63,'Age data'!$A$3:$AE$254,7,FALSE))</f>
        <v>0</v>
      </c>
      <c r="AF63" s="20">
        <f>IF(OR(ISERROR(VLOOKUP($Y$58&amp;$Z63&amp;$AB63,'Age data'!$A$3:$AE$254,8,FALSE)),ISBLANK(VLOOKUP($Y$58&amp;$Z63&amp;$AB63,'Age data'!$A$3:$AE$254,8,FALSE))),"",VLOOKUP($Y$58&amp;$Z63&amp;$AB63,'Age data'!$A$3:$AE$254,8,FALSE))</f>
        <v>1.1904761904761904E-2</v>
      </c>
      <c r="AG63" s="20">
        <f>IF(OR(ISERROR(VLOOKUP($Y$58&amp;$Z63&amp;$AB63,'Age data'!$A$3:$AE$254,9,FALSE)),ISBLANK(VLOOKUP($Y$58&amp;$Z63&amp;$AB63,'Age data'!$A$3:$AE$254,9,FALSE))),"",VLOOKUP($Y$58&amp;$Z63&amp;$AB63,'Age data'!$A$3:$AE$254,9,FALSE))</f>
        <v>0.30952380952380953</v>
      </c>
      <c r="AH63" s="20">
        <f>IF(OR(ISERROR(VLOOKUP($Y$58&amp;$Z63&amp;$AB63,'Age data'!$A$3:$AE$254,10,FALSE)),ISBLANK(VLOOKUP($Y$58&amp;$Z63&amp;$AB63,'Age data'!$A$3:$AE$254,10,FALSE))),"",VLOOKUP($Y$58&amp;$Z63&amp;$AB63,'Age data'!$A$3:$AE$254,10,FALSE))</f>
        <v>0</v>
      </c>
      <c r="AI63" s="20">
        <f>IF(OR(ISERROR(VLOOKUP($Y$58&amp;$Z63&amp;$AB63,'Age data'!$A$3:$AE$254,11,FALSE)),ISBLANK(VLOOKUP($Y$58&amp;$Z63&amp;$AB63,'Age data'!$A$3:$AE$254,11,FALSE))),"",VLOOKUP($Y$58&amp;$Z63&amp;$AB63,'Age data'!$A$3:$AE$254,11,FALSE))</f>
        <v>0.34523809523809523</v>
      </c>
      <c r="AJ63" s="20">
        <f>IF(OR(ISERROR(VLOOKUP($Y$58&amp;$Z63&amp;$AB63,'Age data'!$A$3:$AE$254,12,FALSE)),ISBLANK(VLOOKUP($Y$58&amp;$Z63&amp;$AB63,'Age data'!$A$3:$AE$254,12,FALSE))),"",VLOOKUP($Y$58&amp;$Z63&amp;$AB63,'Age data'!$A$3:$AE$254,12,FALSE))</f>
        <v>0</v>
      </c>
    </row>
    <row r="64" spans="4:37" x14ac:dyDescent="0.25">
      <c r="Y64" s="25"/>
      <c r="Z64" s="25"/>
      <c r="AA64" s="63"/>
      <c r="AB64" s="25"/>
      <c r="AC64" s="20"/>
      <c r="AD64" s="20"/>
      <c r="AE64" s="20"/>
      <c r="AF64" s="20"/>
      <c r="AG64" s="20"/>
      <c r="AH64" s="20"/>
      <c r="AI64" s="20"/>
      <c r="AJ64" s="20"/>
    </row>
    <row r="65" spans="25:36" x14ac:dyDescent="0.25">
      <c r="Y65" s="25"/>
      <c r="Z65" s="25" t="s">
        <v>1</v>
      </c>
      <c r="AA65" s="25" t="s">
        <v>1</v>
      </c>
      <c r="AB65" s="25" t="s">
        <v>7</v>
      </c>
      <c r="AC65" s="20">
        <f>IF(OR(ISERROR(VLOOKUP($Y$58&amp;$Z65&amp;$AB65,'Age data'!$A$3:$AE$254,5,FALSE)),ISBLANK(VLOOKUP($Y$58&amp;$Z65&amp;$AB65,'Age data'!$A$3:$AE$254,5,FALSE))),"",VLOOKUP($Y$58&amp;$Z65&amp;$AB65,'Age data'!$A$3:$AE$254,5,FALSE))</f>
        <v>7.5244208763605921E-2</v>
      </c>
      <c r="AD65" s="20">
        <f>IF(OR(ISERROR(VLOOKUP($Y$58&amp;$Z65&amp;$AB65,'Age data'!$A$3:$AE$254,6,FALSE)),ISBLANK(VLOOKUP($Y$58&amp;$Z65&amp;$AB65,'Age data'!$A$3:$AE$254,6,FALSE))),"",VLOOKUP($Y$58&amp;$Z65&amp;$AB65,'Age data'!$A$3:$AE$254,6,FALSE))</f>
        <v>1.5126988557075076E-2</v>
      </c>
      <c r="AE65" s="20">
        <f>IF(OR(ISERROR(VLOOKUP($Y$58&amp;$Z65&amp;$AB65,'Age data'!$A$3:$AE$254,7,FALSE)),ISBLANK(VLOOKUP($Y$58&amp;$Z65&amp;$AB65,'Age data'!$A$3:$AE$254,7,FALSE))),"",VLOOKUP($Y$58&amp;$Z65&amp;$AB65,'Age data'!$A$3:$AE$254,7,FALSE))</f>
        <v>3.1816913201228019E-3</v>
      </c>
      <c r="AF65" s="20">
        <f>IF(OR(ISERROR(VLOOKUP($Y$58&amp;$Z65&amp;$AB65,'Age data'!$A$3:$AE$254,8,FALSE)),ISBLANK(VLOOKUP($Y$58&amp;$Z65&amp;$AB65,'Age data'!$A$3:$AE$254,8,FALSE))),"",VLOOKUP($Y$58&amp;$Z65&amp;$AB65,'Age data'!$A$3:$AE$254,8,FALSE))</f>
        <v>0.12598381244766954</v>
      </c>
      <c r="AG65" s="20">
        <f>IF(OR(ISERROR(VLOOKUP($Y$58&amp;$Z65&amp;$AB65,'Age data'!$A$3:$AE$254,9,FALSE)),ISBLANK(VLOOKUP($Y$58&amp;$Z65&amp;$AB65,'Age data'!$A$3:$AE$254,9,FALSE))),"",VLOOKUP($Y$58&amp;$Z65&amp;$AB65,'Age data'!$A$3:$AE$254,9,FALSE))</f>
        <v>0.15394920457716996</v>
      </c>
      <c r="AH65" s="20">
        <f>IF(OR(ISERROR(VLOOKUP($Y$58&amp;$Z65&amp;$AB65,'Age data'!$A$3:$AE$254,10,FALSE)),ISBLANK(VLOOKUP($Y$58&amp;$Z65&amp;$AB65,'Age data'!$A$3:$AE$254,10,FALSE))),"",VLOOKUP($Y$58&amp;$Z65&amp;$AB65,'Age data'!$A$3:$AE$254,10,FALSE))</f>
        <v>1.4010605637733743E-2</v>
      </c>
      <c r="AI65" s="20">
        <f>IF(OR(ISERROR(VLOOKUP($Y$58&amp;$Z65&amp;$AB65,'Age data'!$A$3:$AE$254,11,FALSE)),ISBLANK(VLOOKUP($Y$58&amp;$Z65&amp;$AB65,'Age data'!$A$3:$AE$254,11,FALSE))),"",VLOOKUP($Y$58&amp;$Z65&amp;$AB65,'Age data'!$A$3:$AE$254,11,FALSE))</f>
        <v>5.8051911805749373E-3</v>
      </c>
      <c r="AJ65" s="20">
        <f>IF(OR(ISERROR(VLOOKUP($Y$58&amp;$Z65&amp;$AB65,'Age data'!$A$3:$AE$254,12,FALSE)),ISBLANK(VLOOKUP($Y$58&amp;$Z65&amp;$AB65,'Age data'!$A$3:$AE$254,12,FALSE))),"",VLOOKUP($Y$58&amp;$Z65&amp;$AB65,'Age data'!$A$3:$AE$254,12,FALSE))</f>
        <v>0.60669829751604798</v>
      </c>
    </row>
    <row r="66" spans="25:36" x14ac:dyDescent="0.25">
      <c r="Y66" s="25"/>
      <c r="Z66" s="25" t="s">
        <v>1</v>
      </c>
      <c r="AA66" s="63"/>
      <c r="AB66" s="25" t="s">
        <v>8</v>
      </c>
      <c r="AC66" s="20">
        <f>IF(OR(ISERROR(VLOOKUP($Y$58&amp;$Z66&amp;$AB66,'Age data'!$A$3:$AE$254,5,FALSE)),ISBLANK(VLOOKUP($Y$58&amp;$Z66&amp;$AB66,'Age data'!$A$3:$AE$254,5,FALSE))),"",VLOOKUP($Y$58&amp;$Z66&amp;$AB66,'Age data'!$A$3:$AE$254,5,FALSE))</f>
        <v>8.8888888888888892E-2</v>
      </c>
      <c r="AD66" s="20">
        <f>IF(OR(ISERROR(VLOOKUP($Y$58&amp;$Z66&amp;$AB66,'Age data'!$A$3:$AE$254,6,FALSE)),ISBLANK(VLOOKUP($Y$58&amp;$Z66&amp;$AB66,'Age data'!$A$3:$AE$254,6,FALSE))),"",VLOOKUP($Y$58&amp;$Z66&amp;$AB66,'Age data'!$A$3:$AE$254,6,FALSE))</f>
        <v>1.9587176108915239E-2</v>
      </c>
      <c r="AE66" s="20">
        <f>IF(OR(ISERROR(VLOOKUP($Y$58&amp;$Z66&amp;$AB66,'Age data'!$A$3:$AE$254,7,FALSE)),ISBLANK(VLOOKUP($Y$58&amp;$Z66&amp;$AB66,'Age data'!$A$3:$AE$254,7,FALSE))),"",VLOOKUP($Y$58&amp;$Z66&amp;$AB66,'Age data'!$A$3:$AE$254,7,FALSE))</f>
        <v>5.3579270970575315E-3</v>
      </c>
      <c r="AF66" s="20">
        <f>IF(OR(ISERROR(VLOOKUP($Y$58&amp;$Z66&amp;$AB66,'Age data'!$A$3:$AE$254,8,FALSE)),ISBLANK(VLOOKUP($Y$58&amp;$Z66&amp;$AB66,'Age data'!$A$3:$AE$254,8,FALSE))),"",VLOOKUP($Y$58&amp;$Z66&amp;$AB66,'Age data'!$A$3:$AE$254,8,FALSE))</f>
        <v>9.9868247694334653E-2</v>
      </c>
      <c r="AG66" s="20">
        <f>IF(OR(ISERROR(VLOOKUP($Y$58&amp;$Z66&amp;$AB66,'Age data'!$A$3:$AE$254,9,FALSE)),ISBLANK(VLOOKUP($Y$58&amp;$Z66&amp;$AB66,'Age data'!$A$3:$AE$254,9,FALSE))),"",VLOOKUP($Y$58&amp;$Z66&amp;$AB66,'Age data'!$A$3:$AE$254,9,FALSE))</f>
        <v>0.22880983750548967</v>
      </c>
      <c r="AH66" s="20">
        <f>IF(OR(ISERROR(VLOOKUP($Y$58&amp;$Z66&amp;$AB66,'Age data'!$A$3:$AE$254,10,FALSE)),ISBLANK(VLOOKUP($Y$58&amp;$Z66&amp;$AB66,'Age data'!$A$3:$AE$254,10,FALSE))),"",VLOOKUP($Y$58&amp;$Z66&amp;$AB66,'Age data'!$A$3:$AE$254,10,FALSE))</f>
        <v>1.6952129995608255E-2</v>
      </c>
      <c r="AI66" s="20">
        <f>IF(OR(ISERROR(VLOOKUP($Y$58&amp;$Z66&amp;$AB66,'Age data'!$A$3:$AE$254,11,FALSE)),ISBLANK(VLOOKUP($Y$58&amp;$Z66&amp;$AB66,'Age data'!$A$3:$AE$254,11,FALSE))),"",VLOOKUP($Y$58&amp;$Z66&amp;$AB66,'Age data'!$A$3:$AE$254,11,FALSE))</f>
        <v>1.5458937198067632E-2</v>
      </c>
      <c r="AJ66" s="20">
        <f>IF(OR(ISERROR(VLOOKUP($Y$58&amp;$Z66&amp;$AB66,'Age data'!$A$3:$AE$254,12,FALSE)),ISBLANK(VLOOKUP($Y$58&amp;$Z66&amp;$AB66,'Age data'!$A$3:$AE$254,12,FALSE))),"",VLOOKUP($Y$58&amp;$Z66&amp;$AB66,'Age data'!$A$3:$AE$254,12,FALSE))</f>
        <v>0.52507685551163807</v>
      </c>
    </row>
    <row r="67" spans="25:36" x14ac:dyDescent="0.25">
      <c r="Y67" s="25"/>
      <c r="Z67" s="25" t="s">
        <v>1</v>
      </c>
      <c r="AA67" s="33"/>
      <c r="AB67" s="25" t="s">
        <v>9</v>
      </c>
      <c r="AC67" s="20">
        <f>IF(OR(ISERROR(VLOOKUP($Y$58&amp;$Z67&amp;$AB67,'Age data'!$A$3:$AE$254,5,FALSE)),ISBLANK(VLOOKUP($Y$58&amp;$Z67&amp;$AB67,'Age data'!$A$3:$AE$254,5,FALSE))),"",VLOOKUP($Y$58&amp;$Z67&amp;$AB67,'Age data'!$A$3:$AE$254,5,FALSE))</f>
        <v>0.1427211355374762</v>
      </c>
      <c r="AD67" s="20">
        <f>IF(OR(ISERROR(VLOOKUP($Y$58&amp;$Z67&amp;$AB67,'Age data'!$A$3:$AE$254,6,FALSE)),ISBLANK(VLOOKUP($Y$58&amp;$Z67&amp;$AB67,'Age data'!$A$3:$AE$254,6,FALSE))),"",VLOOKUP($Y$58&amp;$Z67&amp;$AB67,'Age data'!$A$3:$AE$254,6,FALSE))</f>
        <v>2.1204777566210836E-2</v>
      </c>
      <c r="AE67" s="20">
        <f>IF(OR(ISERROR(VLOOKUP($Y$58&amp;$Z67&amp;$AB67,'Age data'!$A$3:$AE$254,7,FALSE)),ISBLANK(VLOOKUP($Y$58&amp;$Z67&amp;$AB67,'Age data'!$A$3:$AE$254,7,FALSE))),"",VLOOKUP($Y$58&amp;$Z67&amp;$AB67,'Age data'!$A$3:$AE$254,7,FALSE))</f>
        <v>7.5298597888177254E-3</v>
      </c>
      <c r="AF67" s="20">
        <f>IF(OR(ISERROR(VLOOKUP($Y$58&amp;$Z67&amp;$AB67,'Age data'!$A$3:$AE$254,8,FALSE)),ISBLANK(VLOOKUP($Y$58&amp;$Z67&amp;$AB67,'Age data'!$A$3:$AE$254,8,FALSE))),"",VLOOKUP($Y$58&amp;$Z67&amp;$AB67,'Age data'!$A$3:$AE$254,8,FALSE))</f>
        <v>8.2309157001904096E-2</v>
      </c>
      <c r="AG67" s="20">
        <f>IF(OR(ISERROR(VLOOKUP($Y$58&amp;$Z67&amp;$AB67,'Age data'!$A$3:$AE$254,9,FALSE)),ISBLANK(VLOOKUP($Y$58&amp;$Z67&amp;$AB67,'Age data'!$A$3:$AE$254,9,FALSE))),"",VLOOKUP($Y$58&amp;$Z67&amp;$AB67,'Age data'!$A$3:$AE$254,9,FALSE))</f>
        <v>0.31746581270555652</v>
      </c>
      <c r="AH67" s="20">
        <f>IF(OR(ISERROR(VLOOKUP($Y$58&amp;$Z67&amp;$AB67,'Age data'!$A$3:$AE$254,10,FALSE)),ISBLANK(VLOOKUP($Y$58&amp;$Z67&amp;$AB67,'Age data'!$A$3:$AE$254,10,FALSE))),"",VLOOKUP($Y$58&amp;$Z67&amp;$AB67,'Age data'!$A$3:$AE$254,10,FALSE))</f>
        <v>1.4194218452483988E-2</v>
      </c>
      <c r="AI67" s="20">
        <f>IF(OR(ISERROR(VLOOKUP($Y$58&amp;$Z67&amp;$AB67,'Age data'!$A$3:$AE$254,11,FALSE)),ISBLANK(VLOOKUP($Y$58&amp;$Z67&amp;$AB67,'Age data'!$A$3:$AE$254,11,FALSE))),"",VLOOKUP($Y$58&amp;$Z67&amp;$AB67,'Age data'!$A$3:$AE$254,11,FALSE))</f>
        <v>3.9380301194391551E-2</v>
      </c>
      <c r="AJ67" s="20">
        <f>IF(OR(ISERROR(VLOOKUP($Y$58&amp;$Z67&amp;$AB67,'Age data'!$A$3:$AE$254,12,FALSE)),ISBLANK(VLOOKUP($Y$58&amp;$Z67&amp;$AB67,'Age data'!$A$3:$AE$254,12,FALSE))),"",VLOOKUP($Y$58&amp;$Z67&amp;$AB67,'Age data'!$A$3:$AE$254,12,FALSE))</f>
        <v>0.37519473775315909</v>
      </c>
    </row>
    <row r="68" spans="25:36" x14ac:dyDescent="0.25">
      <c r="Y68" s="25"/>
      <c r="Z68" s="25" t="s">
        <v>1</v>
      </c>
      <c r="AA68" s="33"/>
      <c r="AB68" s="25" t="s">
        <v>10</v>
      </c>
      <c r="AC68" s="20">
        <f>IF(OR(ISERROR(VLOOKUP($Y$58&amp;$Z68&amp;$AB68,'Age data'!$A$3:$AE$254,5,FALSE)),ISBLANK(VLOOKUP($Y$58&amp;$Z68&amp;$AB68,'Age data'!$A$3:$AE$254,5,FALSE))),"",VLOOKUP($Y$58&amp;$Z68&amp;$AB68,'Age data'!$A$3:$AE$254,5,FALSE))</f>
        <v>0.2297609345286607</v>
      </c>
      <c r="AD68" s="20">
        <f>IF(OR(ISERROR(VLOOKUP($Y$58&amp;$Z68&amp;$AB68,'Age data'!$A$3:$AE$254,6,FALSE)),ISBLANK(VLOOKUP($Y$58&amp;$Z68&amp;$AB68,'Age data'!$A$3:$AE$254,6,FALSE))),"",VLOOKUP($Y$58&amp;$Z68&amp;$AB68,'Age data'!$A$3:$AE$254,6,FALSE))</f>
        <v>1.8676989948383592E-2</v>
      </c>
      <c r="AE68" s="20">
        <f>IF(OR(ISERROR(VLOOKUP($Y$58&amp;$Z68&amp;$AB68,'Age data'!$A$3:$AE$254,7,FALSE)),ISBLANK(VLOOKUP($Y$58&amp;$Z68&amp;$AB68,'Age data'!$A$3:$AE$254,7,FALSE))),"",VLOOKUP($Y$58&amp;$Z68&amp;$AB68,'Age data'!$A$3:$AE$254,7,FALSE))</f>
        <v>1.5281173594132029E-2</v>
      </c>
      <c r="AF68" s="20">
        <f>IF(OR(ISERROR(VLOOKUP($Y$58&amp;$Z68&amp;$AB68,'Age data'!$A$3:$AE$254,8,FALSE)),ISBLANK(VLOOKUP($Y$58&amp;$Z68&amp;$AB68,'Age data'!$A$3:$AE$254,8,FALSE))),"",VLOOKUP($Y$58&amp;$Z68&amp;$AB68,'Age data'!$A$3:$AE$254,8,FALSE))</f>
        <v>4.1768541157294212E-2</v>
      </c>
      <c r="AG68" s="20">
        <f>IF(OR(ISERROR(VLOOKUP($Y$58&amp;$Z68&amp;$AB68,'Age data'!$A$3:$AE$254,9,FALSE)),ISBLANK(VLOOKUP($Y$58&amp;$Z68&amp;$AB68,'Age data'!$A$3:$AE$254,9,FALSE))),"",VLOOKUP($Y$58&amp;$Z68&amp;$AB68,'Age data'!$A$3:$AE$254,9,FALSE))</f>
        <v>0.42250747079597933</v>
      </c>
      <c r="AH68" s="20">
        <f>IF(OR(ISERROR(VLOOKUP($Y$58&amp;$Z68&amp;$AB68,'Age data'!$A$3:$AE$254,10,FALSE)),ISBLANK(VLOOKUP($Y$58&amp;$Z68&amp;$AB68,'Age data'!$A$3:$AE$254,10,FALSE))),"",VLOOKUP($Y$58&amp;$Z68&amp;$AB68,'Age data'!$A$3:$AE$254,10,FALSE))</f>
        <v>9.5082857919043737E-3</v>
      </c>
      <c r="AI68" s="20">
        <f>IF(OR(ISERROR(VLOOKUP($Y$58&amp;$Z68&amp;$AB68,'Age data'!$A$3:$AE$254,11,FALSE)),ISBLANK(VLOOKUP($Y$58&amp;$Z68&amp;$AB68,'Age data'!$A$3:$AE$254,11,FALSE))),"",VLOOKUP($Y$58&amp;$Z68&amp;$AB68,'Age data'!$A$3:$AE$254,11,FALSE))</f>
        <v>0.12428687856560718</v>
      </c>
      <c r="AJ68" s="20">
        <f>IF(OR(ISERROR(VLOOKUP($Y$58&amp;$Z68&amp;$AB68,'Age data'!$A$3:$AE$254,12,FALSE)),ISBLANK(VLOOKUP($Y$58&amp;$Z68&amp;$AB68,'Age data'!$A$3:$AE$254,12,FALSE))),"",VLOOKUP($Y$58&amp;$Z68&amp;$AB68,'Age data'!$A$3:$AE$254,12,FALSE))</f>
        <v>0.13820972561803857</v>
      </c>
    </row>
    <row r="69" spans="25:36" x14ac:dyDescent="0.25">
      <c r="Y69" s="25"/>
      <c r="Z69" s="25" t="s">
        <v>1</v>
      </c>
      <c r="AA69" s="33"/>
      <c r="AB69" s="25" t="s">
        <v>11</v>
      </c>
      <c r="AC69" s="20">
        <f>IF(OR(ISERROR(VLOOKUP($Y$58&amp;$Z69&amp;$AB69,'Age data'!$A$3:$AE$254,5,FALSE)),ISBLANK(VLOOKUP($Y$58&amp;$Z69&amp;$AB69,'Age data'!$A$3:$AE$254,5,FALSE))),"",VLOOKUP($Y$58&amp;$Z69&amp;$AB69,'Age data'!$A$3:$AE$254,5,FALSE))</f>
        <v>0.26529246419488689</v>
      </c>
      <c r="AD69" s="20">
        <f>IF(OR(ISERROR(VLOOKUP($Y$58&amp;$Z69&amp;$AB69,'Age data'!$A$3:$AE$254,6,FALSE)),ISBLANK(VLOOKUP($Y$58&amp;$Z69&amp;$AB69,'Age data'!$A$3:$AE$254,6,FALSE))),"",VLOOKUP($Y$58&amp;$Z69&amp;$AB69,'Age data'!$A$3:$AE$254,6,FALSE))</f>
        <v>1.4723597911926114E-2</v>
      </c>
      <c r="AE69" s="20">
        <f>IF(OR(ISERROR(VLOOKUP($Y$58&amp;$Z69&amp;$AB69,'Age data'!$A$3:$AE$254,7,FALSE)),ISBLANK(VLOOKUP($Y$58&amp;$Z69&amp;$AB69,'Age data'!$A$3:$AE$254,7,FALSE))),"",VLOOKUP($Y$58&amp;$Z69&amp;$AB69,'Age data'!$A$3:$AE$254,7,FALSE))</f>
        <v>1.9542229955829205E-2</v>
      </c>
      <c r="AF69" s="20">
        <f>IF(OR(ISERROR(VLOOKUP($Y$58&amp;$Z69&amp;$AB69,'Age data'!$A$3:$AE$254,8,FALSE)),ISBLANK(VLOOKUP($Y$58&amp;$Z69&amp;$AB69,'Age data'!$A$3:$AE$254,8,FALSE))),"",VLOOKUP($Y$58&amp;$Z69&amp;$AB69,'Age data'!$A$3:$AE$254,8,FALSE))</f>
        <v>8.70030785704725E-3</v>
      </c>
      <c r="AG69" s="20">
        <f>IF(OR(ISERROR(VLOOKUP($Y$58&amp;$Z69&amp;$AB69,'Age data'!$A$3:$AE$254,9,FALSE)),ISBLANK(VLOOKUP($Y$58&amp;$Z69&amp;$AB69,'Age data'!$A$3:$AE$254,9,FALSE))),"",VLOOKUP($Y$58&amp;$Z69&amp;$AB69,'Age data'!$A$3:$AE$254,9,FALSE))</f>
        <v>0.33690269040289117</v>
      </c>
      <c r="AH69" s="20">
        <f>IF(OR(ISERROR(VLOOKUP($Y$58&amp;$Z69&amp;$AB69,'Age data'!$A$3:$AE$254,10,FALSE)),ISBLANK(VLOOKUP($Y$58&amp;$Z69&amp;$AB69,'Age data'!$A$3:$AE$254,10,FALSE))),"",VLOOKUP($Y$58&amp;$Z69&amp;$AB69,'Age data'!$A$3:$AE$254,10,FALSE))</f>
        <v>4.5509302636862533E-3</v>
      </c>
      <c r="AI69" s="20">
        <f>IF(OR(ISERROR(VLOOKUP($Y$58&amp;$Z69&amp;$AB69,'Age data'!$A$3:$AE$254,11,FALSE)),ISBLANK(VLOOKUP($Y$58&amp;$Z69&amp;$AB69,'Age data'!$A$3:$AE$254,11,FALSE))),"",VLOOKUP($Y$58&amp;$Z69&amp;$AB69,'Age data'!$A$3:$AE$254,11,FALSE))</f>
        <v>0.32940704055681969</v>
      </c>
      <c r="AJ69" s="20">
        <f>IF(OR(ISERROR(VLOOKUP($Y$58&amp;$Z69&amp;$AB69,'Age data'!$A$3:$AE$254,12,FALSE)),ISBLANK(VLOOKUP($Y$58&amp;$Z69&amp;$AB69,'Age data'!$A$3:$AE$254,12,FALSE))),"",VLOOKUP($Y$58&amp;$Z69&amp;$AB69,'Age data'!$A$3:$AE$254,12,FALSE))</f>
        <v>2.0880738856913397E-2</v>
      </c>
    </row>
    <row r="70" spans="25:36" x14ac:dyDescent="0.25">
      <c r="Y70" s="25"/>
      <c r="Z70" s="25" t="s">
        <v>1</v>
      </c>
      <c r="AA70" s="33"/>
      <c r="AB70" s="25" t="s">
        <v>12</v>
      </c>
      <c r="AC70" s="20">
        <f>IF(OR(ISERROR(VLOOKUP($Y$58&amp;$Z70&amp;$AB70,'Age data'!$A$3:$AE$254,5,FALSE)),ISBLANK(VLOOKUP($Y$58&amp;$Z70&amp;$AB70,'Age data'!$A$3:$AE$254,5,FALSE))),"",VLOOKUP($Y$58&amp;$Z70&amp;$AB70,'Age data'!$A$3:$AE$254,5,FALSE))</f>
        <v>0.18667813690549342</v>
      </c>
      <c r="AD70" s="20">
        <f>IF(OR(ISERROR(VLOOKUP($Y$58&amp;$Z70&amp;$AB70,'Age data'!$A$3:$AE$254,6,FALSE)),ISBLANK(VLOOKUP($Y$58&amp;$Z70&amp;$AB70,'Age data'!$A$3:$AE$254,6,FALSE))),"",VLOOKUP($Y$58&amp;$Z70&amp;$AB70,'Age data'!$A$3:$AE$254,6,FALSE))</f>
        <v>9.8316332800786523E-3</v>
      </c>
      <c r="AE70" s="20">
        <f>IF(OR(ISERROR(VLOOKUP($Y$58&amp;$Z70&amp;$AB70,'Age data'!$A$3:$AE$254,7,FALSE)),ISBLANK(VLOOKUP($Y$58&amp;$Z70&amp;$AB70,'Age data'!$A$3:$AE$254,7,FALSE))),"",VLOOKUP($Y$58&amp;$Z70&amp;$AB70,'Age data'!$A$3:$AE$254,7,FALSE))</f>
        <v>2.4210396952193684E-2</v>
      </c>
      <c r="AF70" s="20">
        <f>IF(OR(ISERROR(VLOOKUP($Y$58&amp;$Z70&amp;$AB70,'Age data'!$A$3:$AE$254,8,FALSE)),ISBLANK(VLOOKUP($Y$58&amp;$Z70&amp;$AB70,'Age data'!$A$3:$AE$254,8,FALSE))),"",VLOOKUP($Y$58&amp;$Z70&amp;$AB70,'Age data'!$A$3:$AE$254,8,FALSE))</f>
        <v>1.7205358240137644E-3</v>
      </c>
      <c r="AG70" s="20">
        <f>IF(OR(ISERROR(VLOOKUP($Y$58&amp;$Z70&amp;$AB70,'Age data'!$A$3:$AE$254,9,FALSE)),ISBLANK(VLOOKUP($Y$58&amp;$Z70&amp;$AB70,'Age data'!$A$3:$AE$254,9,FALSE))),"",VLOOKUP($Y$58&amp;$Z70&amp;$AB70,'Age data'!$A$3:$AE$254,9,FALSE))</f>
        <v>0.12437016099299496</v>
      </c>
      <c r="AH70" s="20">
        <f>IF(OR(ISERROR(VLOOKUP($Y$58&amp;$Z70&amp;$AB70,'Age data'!$A$3:$AE$254,10,FALSE)),ISBLANK(VLOOKUP($Y$58&amp;$Z70&amp;$AB70,'Age data'!$A$3:$AE$254,10,FALSE))),"",VLOOKUP($Y$58&amp;$Z70&amp;$AB70,'Age data'!$A$3:$AE$254,10,FALSE))</f>
        <v>2.212117488017697E-3</v>
      </c>
      <c r="AI70" s="20">
        <f>IF(OR(ISERROR(VLOOKUP($Y$58&amp;$Z70&amp;$AB70,'Age data'!$A$3:$AE$254,11,FALSE)),ISBLANK(VLOOKUP($Y$58&amp;$Z70&amp;$AB70,'Age data'!$A$3:$AE$254,11,FALSE))),"",VLOOKUP($Y$58&amp;$Z70&amp;$AB70,'Age data'!$A$3:$AE$254,11,FALSE))</f>
        <v>0.64704436524517639</v>
      </c>
      <c r="AJ70" s="20">
        <f>IF(OR(ISERROR(VLOOKUP($Y$58&amp;$Z70&amp;$AB70,'Age data'!$A$3:$AE$254,12,FALSE)),ISBLANK(VLOOKUP($Y$58&amp;$Z70&amp;$AB70,'Age data'!$A$3:$AE$254,12,FALSE))),"",VLOOKUP($Y$58&amp;$Z70&amp;$AB70,'Age data'!$A$3:$AE$254,12,FALSE))</f>
        <v>3.9326533120314609E-3</v>
      </c>
    </row>
    <row r="71" spans="25:36" x14ac:dyDescent="0.25">
      <c r="Y71" s="25"/>
      <c r="Z71" s="25"/>
      <c r="AA71" s="33"/>
      <c r="AB71" s="25"/>
      <c r="AC71" s="20"/>
      <c r="AD71" s="20"/>
      <c r="AE71" s="20"/>
      <c r="AF71" s="20"/>
      <c r="AG71" s="20"/>
      <c r="AH71" s="20"/>
      <c r="AI71" s="20"/>
      <c r="AJ71" s="20"/>
    </row>
    <row r="72" spans="25:36" x14ac:dyDescent="0.25">
      <c r="Y72" s="25"/>
      <c r="Z72" s="25" t="s">
        <v>2</v>
      </c>
      <c r="AA72" s="25" t="s">
        <v>2</v>
      </c>
      <c r="AB72" s="25" t="s">
        <v>7</v>
      </c>
      <c r="AC72" s="20">
        <f>IF(OR(ISERROR(VLOOKUP($Y$58&amp;$Z72&amp;$AB72,'Age data'!$A$3:$AE$254,5,FALSE)),ISBLANK(VLOOKUP($Y$58&amp;$Z72&amp;$AB72,'Age data'!$A$3:$AE$254,5,FALSE))),"",VLOOKUP($Y$58&amp;$Z72&amp;$AB72,'Age data'!$A$3:$AE$254,5,FALSE))</f>
        <v>0.18424036281179137</v>
      </c>
      <c r="AD72" s="20">
        <f>IF(OR(ISERROR(VLOOKUP($Y$58&amp;$Z72&amp;$AB72,'Age data'!$A$3:$AE$254,6,FALSE)),ISBLANK(VLOOKUP($Y$58&amp;$Z72&amp;$AB72,'Age data'!$A$3:$AE$254,6,FALSE))),"",VLOOKUP($Y$58&amp;$Z72&amp;$AB72,'Age data'!$A$3:$AE$254,6,FALSE))</f>
        <v>3.4580498866213151E-2</v>
      </c>
      <c r="AE72" s="20">
        <f>IF(OR(ISERROR(VLOOKUP($Y$58&amp;$Z72&amp;$AB72,'Age data'!$A$3:$AE$254,7,FALSE)),ISBLANK(VLOOKUP($Y$58&amp;$Z72&amp;$AB72,'Age data'!$A$3:$AE$254,7,FALSE))),"",VLOOKUP($Y$58&amp;$Z72&amp;$AB72,'Age data'!$A$3:$AE$254,7,FALSE))</f>
        <v>4.5634920634920632E-2</v>
      </c>
      <c r="AF72" s="20">
        <f>IF(OR(ISERROR(VLOOKUP($Y$58&amp;$Z72&amp;$AB72,'Age data'!$A$3:$AE$254,8,FALSE)),ISBLANK(VLOOKUP($Y$58&amp;$Z72&amp;$AB72,'Age data'!$A$3:$AE$254,8,FALSE))),"",VLOOKUP($Y$58&amp;$Z72&amp;$AB72,'Age data'!$A$3:$AE$254,8,FALSE))</f>
        <v>0.10799319727891156</v>
      </c>
      <c r="AG72" s="20">
        <f>IF(OR(ISERROR(VLOOKUP($Y$58&amp;$Z72&amp;$AB72,'Age data'!$A$3:$AE$254,9,FALSE)),ISBLANK(VLOOKUP($Y$58&amp;$Z72&amp;$AB72,'Age data'!$A$3:$AE$254,9,FALSE))),"",VLOOKUP($Y$58&amp;$Z72&amp;$AB72,'Age data'!$A$3:$AE$254,9,FALSE))</f>
        <v>0.15731292517006804</v>
      </c>
      <c r="AH72" s="20">
        <f>IF(OR(ISERROR(VLOOKUP($Y$58&amp;$Z72&amp;$AB72,'Age data'!$A$3:$AE$254,10,FALSE)),ISBLANK(VLOOKUP($Y$58&amp;$Z72&amp;$AB72,'Age data'!$A$3:$AE$254,10,FALSE))),"",VLOOKUP($Y$58&amp;$Z72&amp;$AB72,'Age data'!$A$3:$AE$254,10,FALSE))</f>
        <v>4.1666666666666664E-2</v>
      </c>
      <c r="AI72" s="20">
        <f>IF(OR(ISERROR(VLOOKUP($Y$58&amp;$Z72&amp;$AB72,'Age data'!$A$3:$AE$254,11,FALSE)),ISBLANK(VLOOKUP($Y$58&amp;$Z72&amp;$AB72,'Age data'!$A$3:$AE$254,11,FALSE))),"",VLOOKUP($Y$58&amp;$Z72&amp;$AB72,'Age data'!$A$3:$AE$254,11,FALSE))</f>
        <v>0.13038548752834467</v>
      </c>
      <c r="AJ72" s="20">
        <f>IF(OR(ISERROR(VLOOKUP($Y$58&amp;$Z72&amp;$AB72,'Age data'!$A$3:$AE$254,12,FALSE)),ISBLANK(VLOOKUP($Y$58&amp;$Z72&amp;$AB72,'Age data'!$A$3:$AE$254,12,FALSE))),"",VLOOKUP($Y$58&amp;$Z72&amp;$AB72,'Age data'!$A$3:$AE$254,12,FALSE))</f>
        <v>0.29818594104308388</v>
      </c>
    </row>
    <row r="73" spans="25:36" x14ac:dyDescent="0.25">
      <c r="Y73" s="25"/>
      <c r="Z73" s="25" t="s">
        <v>2</v>
      </c>
      <c r="AA73" s="33"/>
      <c r="AB73" s="25" t="s">
        <v>8</v>
      </c>
      <c r="AC73" s="20">
        <f>IF(OR(ISERROR(VLOOKUP($Y$58&amp;$Z73&amp;$AB73,'Age data'!$A$3:$AE$254,5,FALSE)),ISBLANK(VLOOKUP($Y$58&amp;$Z73&amp;$AB73,'Age data'!$A$3:$AE$254,5,FALSE))),"",VLOOKUP($Y$58&amp;$Z73&amp;$AB73,'Age data'!$A$3:$AE$254,5,FALSE))</f>
        <v>0.20932317346481399</v>
      </c>
      <c r="AD73" s="20">
        <f>IF(OR(ISERROR(VLOOKUP($Y$58&amp;$Z73&amp;$AB73,'Age data'!$A$3:$AE$254,6,FALSE)),ISBLANK(VLOOKUP($Y$58&amp;$Z73&amp;$AB73,'Age data'!$A$3:$AE$254,6,FALSE))),"",VLOOKUP($Y$58&amp;$Z73&amp;$AB73,'Age data'!$A$3:$AE$254,6,FALSE))</f>
        <v>4.1237113402061855E-2</v>
      </c>
      <c r="AE73" s="20">
        <f>IF(OR(ISERROR(VLOOKUP($Y$58&amp;$Z73&amp;$AB73,'Age data'!$A$3:$AE$254,7,FALSE)),ISBLANK(VLOOKUP($Y$58&amp;$Z73&amp;$AB73,'Age data'!$A$3:$AE$254,7,FALSE))),"",VLOOKUP($Y$58&amp;$Z73&amp;$AB73,'Age data'!$A$3:$AE$254,7,FALSE))</f>
        <v>4.5719408337068577E-2</v>
      </c>
      <c r="AF73" s="20">
        <f>IF(OR(ISERROR(VLOOKUP($Y$58&amp;$Z73&amp;$AB73,'Age data'!$A$3:$AE$254,8,FALSE)),ISBLANK(VLOOKUP($Y$58&amp;$Z73&amp;$AB73,'Age data'!$A$3:$AE$254,8,FALSE))),"",VLOOKUP($Y$58&amp;$Z73&amp;$AB73,'Age data'!$A$3:$AE$254,8,FALSE))</f>
        <v>8.9645898700134466E-2</v>
      </c>
      <c r="AG73" s="20">
        <f>IF(OR(ISERROR(VLOOKUP($Y$58&amp;$Z73&amp;$AB73,'Age data'!$A$3:$AE$254,9,FALSE)),ISBLANK(VLOOKUP($Y$58&amp;$Z73&amp;$AB73,'Age data'!$A$3:$AE$254,9,FALSE))),"",VLOOKUP($Y$58&amp;$Z73&amp;$AB73,'Age data'!$A$3:$AE$254,9,FALSE))</f>
        <v>0.21604661586732407</v>
      </c>
      <c r="AH73" s="20">
        <f>IF(OR(ISERROR(VLOOKUP($Y$58&amp;$Z73&amp;$AB73,'Age data'!$A$3:$AE$254,10,FALSE)),ISBLANK(VLOOKUP($Y$58&amp;$Z73&amp;$AB73,'Age data'!$A$3:$AE$254,10,FALSE))),"",VLOOKUP($Y$58&amp;$Z73&amp;$AB73,'Age data'!$A$3:$AE$254,10,FALSE))</f>
        <v>3.7651277454056477E-2</v>
      </c>
      <c r="AI73" s="20">
        <f>IF(OR(ISERROR(VLOOKUP($Y$58&amp;$Z73&amp;$AB73,'Age data'!$A$3:$AE$254,11,FALSE)),ISBLANK(VLOOKUP($Y$58&amp;$Z73&amp;$AB73,'Age data'!$A$3:$AE$254,11,FALSE))),"",VLOOKUP($Y$58&amp;$Z73&amp;$AB73,'Age data'!$A$3:$AE$254,11,FALSE))</f>
        <v>0.1214701927386822</v>
      </c>
      <c r="AJ73" s="20">
        <f>IF(OR(ISERROR(VLOOKUP($Y$58&amp;$Z73&amp;$AB73,'Age data'!$A$3:$AE$254,12,FALSE)),ISBLANK(VLOOKUP($Y$58&amp;$Z73&amp;$AB73,'Age data'!$A$3:$AE$254,12,FALSE))),"",VLOOKUP($Y$58&amp;$Z73&amp;$AB73,'Age data'!$A$3:$AE$254,12,FALSE))</f>
        <v>0.23890632003585835</v>
      </c>
    </row>
    <row r="74" spans="25:36" x14ac:dyDescent="0.25">
      <c r="Y74" s="25"/>
      <c r="Z74" s="25" t="s">
        <v>2</v>
      </c>
      <c r="AA74" s="33"/>
      <c r="AB74" s="25" t="s">
        <v>9</v>
      </c>
      <c r="AC74" s="20">
        <f>IF(OR(ISERROR(VLOOKUP($Y$58&amp;$Z74&amp;$AB74,'Age data'!$A$3:$AE$254,5,FALSE)),ISBLANK(VLOOKUP($Y$58&amp;$Z74&amp;$AB74,'Age data'!$A$3:$AE$254,5,FALSE))),"",VLOOKUP($Y$58&amp;$Z74&amp;$AB74,'Age data'!$A$3:$AE$254,5,FALSE))</f>
        <v>0.22041763341067286</v>
      </c>
      <c r="AD74" s="20">
        <f>IF(OR(ISERROR(VLOOKUP($Y$58&amp;$Z74&amp;$AB74,'Age data'!$A$3:$AE$254,6,FALSE)),ISBLANK(VLOOKUP($Y$58&amp;$Z74&amp;$AB74,'Age data'!$A$3:$AE$254,6,FALSE))),"",VLOOKUP($Y$58&amp;$Z74&amp;$AB74,'Age data'!$A$3:$AE$254,6,FALSE))</f>
        <v>4.6403712296983757E-2</v>
      </c>
      <c r="AE74" s="20">
        <f>IF(OR(ISERROR(VLOOKUP($Y$58&amp;$Z74&amp;$AB74,'Age data'!$A$3:$AE$254,7,FALSE)),ISBLANK(VLOOKUP($Y$58&amp;$Z74&amp;$AB74,'Age data'!$A$3:$AE$254,7,FALSE))),"",VLOOKUP($Y$58&amp;$Z74&amp;$AB74,'Age data'!$A$3:$AE$254,7,FALSE))</f>
        <v>4.3619489559164733E-2</v>
      </c>
      <c r="AF74" s="20">
        <f>IF(OR(ISERROR(VLOOKUP($Y$58&amp;$Z74&amp;$AB74,'Age data'!$A$3:$AE$254,8,FALSE)),ISBLANK(VLOOKUP($Y$58&amp;$Z74&amp;$AB74,'Age data'!$A$3:$AE$254,8,FALSE))),"",VLOOKUP($Y$58&amp;$Z74&amp;$AB74,'Age data'!$A$3:$AE$254,8,FALSE))</f>
        <v>8.7238979118329466E-2</v>
      </c>
      <c r="AG74" s="20">
        <f>IF(OR(ISERROR(VLOOKUP($Y$58&amp;$Z74&amp;$AB74,'Age data'!$A$3:$AE$254,9,FALSE)),ISBLANK(VLOOKUP($Y$58&amp;$Z74&amp;$AB74,'Age data'!$A$3:$AE$254,9,FALSE))),"",VLOOKUP($Y$58&amp;$Z74&amp;$AB74,'Age data'!$A$3:$AE$254,9,FALSE))</f>
        <v>0.27470997679814385</v>
      </c>
      <c r="AH74" s="20">
        <f>IF(OR(ISERROR(VLOOKUP($Y$58&amp;$Z74&amp;$AB74,'Age data'!$A$3:$AE$254,10,FALSE)),ISBLANK(VLOOKUP($Y$58&amp;$Z74&amp;$AB74,'Age data'!$A$3:$AE$254,10,FALSE))),"",VLOOKUP($Y$58&amp;$Z74&amp;$AB74,'Age data'!$A$3:$AE$254,10,FALSE))</f>
        <v>3.8979118329466357E-2</v>
      </c>
      <c r="AI74" s="20">
        <f>IF(OR(ISERROR(VLOOKUP($Y$58&amp;$Z74&amp;$AB74,'Age data'!$A$3:$AE$254,11,FALSE)),ISBLANK(VLOOKUP($Y$58&amp;$Z74&amp;$AB74,'Age data'!$A$3:$AE$254,11,FALSE))),"",VLOOKUP($Y$58&amp;$Z74&amp;$AB74,'Age data'!$A$3:$AE$254,11,FALSE))</f>
        <v>0.12389791183294664</v>
      </c>
      <c r="AJ74" s="20">
        <f>IF(OR(ISERROR(VLOOKUP($Y$58&amp;$Z74&amp;$AB74,'Age data'!$A$3:$AE$254,12,FALSE)),ISBLANK(VLOOKUP($Y$58&amp;$Z74&amp;$AB74,'Age data'!$A$3:$AE$254,12,FALSE))),"",VLOOKUP($Y$58&amp;$Z74&amp;$AB74,'Age data'!$A$3:$AE$254,12,FALSE))</f>
        <v>0.16473317865429235</v>
      </c>
    </row>
    <row r="75" spans="25:36" x14ac:dyDescent="0.25">
      <c r="Y75" s="25"/>
      <c r="Z75" s="25" t="s">
        <v>2</v>
      </c>
      <c r="AA75" s="63"/>
      <c r="AB75" s="25" t="s">
        <v>10</v>
      </c>
      <c r="AC75" s="20">
        <f>IF(OR(ISERROR(VLOOKUP($Y$58&amp;$Z75&amp;$AB75,'Age data'!$A$3:$AE$254,5,FALSE)),ISBLANK(VLOOKUP($Y$58&amp;$Z75&amp;$AB75,'Age data'!$A$3:$AE$254,5,FALSE))),"",VLOOKUP($Y$58&amp;$Z75&amp;$AB75,'Age data'!$A$3:$AE$254,5,FALSE))</f>
        <v>0.26205936920222633</v>
      </c>
      <c r="AD75" s="20">
        <f>IF(OR(ISERROR(VLOOKUP($Y$58&amp;$Z75&amp;$AB75,'Age data'!$A$3:$AE$254,6,FALSE)),ISBLANK(VLOOKUP($Y$58&amp;$Z75&amp;$AB75,'Age data'!$A$3:$AE$254,6,FALSE))),"",VLOOKUP($Y$58&amp;$Z75&amp;$AB75,'Age data'!$A$3:$AE$254,6,FALSE))</f>
        <v>3.8497217068645638E-2</v>
      </c>
      <c r="AE75" s="20">
        <f>IF(OR(ISERROR(VLOOKUP($Y$58&amp;$Z75&amp;$AB75,'Age data'!$A$3:$AE$254,7,FALSE)),ISBLANK(VLOOKUP($Y$58&amp;$Z75&amp;$AB75,'Age data'!$A$3:$AE$254,7,FALSE))),"",VLOOKUP($Y$58&amp;$Z75&amp;$AB75,'Age data'!$A$3:$AE$254,7,FALSE))</f>
        <v>5.9369202226345084E-2</v>
      </c>
      <c r="AF75" s="20">
        <f>IF(OR(ISERROR(VLOOKUP($Y$58&amp;$Z75&amp;$AB75,'Age data'!$A$3:$AE$254,8,FALSE)),ISBLANK(VLOOKUP($Y$58&amp;$Z75&amp;$AB75,'Age data'!$A$3:$AE$254,8,FALSE))),"",VLOOKUP($Y$58&amp;$Z75&amp;$AB75,'Age data'!$A$3:$AE$254,8,FALSE))</f>
        <v>3.1076066790352505E-2</v>
      </c>
      <c r="AG75" s="20">
        <f>IF(OR(ISERROR(VLOOKUP($Y$58&amp;$Z75&amp;$AB75,'Age data'!$A$3:$AE$254,9,FALSE)),ISBLANK(VLOOKUP($Y$58&amp;$Z75&amp;$AB75,'Age data'!$A$3:$AE$254,9,FALSE))),"",VLOOKUP($Y$58&amp;$Z75&amp;$AB75,'Age data'!$A$3:$AE$254,9,FALSE))</f>
        <v>0.2857142857142857</v>
      </c>
      <c r="AH75" s="20">
        <f>IF(OR(ISERROR(VLOOKUP($Y$58&amp;$Z75&amp;$AB75,'Age data'!$A$3:$AE$254,10,FALSE)),ISBLANK(VLOOKUP($Y$58&amp;$Z75&amp;$AB75,'Age data'!$A$3:$AE$254,10,FALSE))),"",VLOOKUP($Y$58&amp;$Z75&amp;$AB75,'Age data'!$A$3:$AE$254,10,FALSE))</f>
        <v>2.7829313543599257E-2</v>
      </c>
      <c r="AI75" s="20">
        <f>IF(OR(ISERROR(VLOOKUP($Y$58&amp;$Z75&amp;$AB75,'Age data'!$A$3:$AE$254,11,FALSE)),ISBLANK(VLOOKUP($Y$58&amp;$Z75&amp;$AB75,'Age data'!$A$3:$AE$254,11,FALSE))),"",VLOOKUP($Y$58&amp;$Z75&amp;$AB75,'Age data'!$A$3:$AE$254,11,FALSE))</f>
        <v>0.22170686456400743</v>
      </c>
      <c r="AJ75" s="20">
        <f>IF(OR(ISERROR(VLOOKUP($Y$58&amp;$Z75&amp;$AB75,'Age data'!$A$3:$AE$254,12,FALSE)),ISBLANK(VLOOKUP($Y$58&amp;$Z75&amp;$AB75,'Age data'!$A$3:$AE$254,12,FALSE))),"",VLOOKUP($Y$58&amp;$Z75&amp;$AB75,'Age data'!$A$3:$AE$254,12,FALSE))</f>
        <v>7.3747680890538028E-2</v>
      </c>
    </row>
    <row r="76" spans="25:36" x14ac:dyDescent="0.25">
      <c r="Y76" s="25"/>
      <c r="Z76" s="25" t="s">
        <v>2</v>
      </c>
      <c r="AA76" s="33"/>
      <c r="AB76" s="25" t="s">
        <v>11</v>
      </c>
      <c r="AC76" s="20">
        <f>IF(OR(ISERROR(VLOOKUP($Y$58&amp;$Z76&amp;$AB76,'Age data'!$A$3:$AE$254,5,FALSE)),ISBLANK(VLOOKUP($Y$58&amp;$Z76&amp;$AB76,'Age data'!$A$3:$AE$254,5,FALSE))),"",VLOOKUP($Y$58&amp;$Z76&amp;$AB76,'Age data'!$A$3:$AE$254,5,FALSE))</f>
        <v>0.24878993223620524</v>
      </c>
      <c r="AD76" s="20">
        <f>IF(OR(ISERROR(VLOOKUP($Y$58&amp;$Z76&amp;$AB76,'Age data'!$A$3:$AE$254,6,FALSE)),ISBLANK(VLOOKUP($Y$58&amp;$Z76&amp;$AB76,'Age data'!$A$3:$AE$254,6,FALSE))),"",VLOOKUP($Y$58&amp;$Z76&amp;$AB76,'Age data'!$A$3:$AE$254,6,FALSE))</f>
        <v>3.0009680542110357E-2</v>
      </c>
      <c r="AE76" s="20">
        <f>IF(OR(ISERROR(VLOOKUP($Y$58&amp;$Z76&amp;$AB76,'Age data'!$A$3:$AE$254,7,FALSE)),ISBLANK(VLOOKUP($Y$58&amp;$Z76&amp;$AB76,'Age data'!$A$3:$AE$254,7,FALSE))),"",VLOOKUP($Y$58&amp;$Z76&amp;$AB76,'Age data'!$A$3:$AE$254,7,FALSE))</f>
        <v>7.2604065827686345E-2</v>
      </c>
      <c r="AF76" s="20">
        <f>IF(OR(ISERROR(VLOOKUP($Y$58&amp;$Z76&amp;$AB76,'Age data'!$A$3:$AE$254,8,FALSE)),ISBLANK(VLOOKUP($Y$58&amp;$Z76&amp;$AB76,'Age data'!$A$3:$AE$254,8,FALSE))),"",VLOOKUP($Y$58&amp;$Z76&amp;$AB76,'Age data'!$A$3:$AE$254,8,FALSE))</f>
        <v>8.7124878993223628E-3</v>
      </c>
      <c r="AG76" s="20">
        <f>IF(OR(ISERROR(VLOOKUP($Y$58&amp;$Z76&amp;$AB76,'Age data'!$A$3:$AE$254,9,FALSE)),ISBLANK(VLOOKUP($Y$58&amp;$Z76&amp;$AB76,'Age data'!$A$3:$AE$254,9,FALSE))),"",VLOOKUP($Y$58&amp;$Z76&amp;$AB76,'Age data'!$A$3:$AE$254,9,FALSE))</f>
        <v>0.17424975798644723</v>
      </c>
      <c r="AH76" s="20">
        <f>IF(OR(ISERROR(VLOOKUP($Y$58&amp;$Z76&amp;$AB76,'Age data'!$A$3:$AE$254,10,FALSE)),ISBLANK(VLOOKUP($Y$58&amp;$Z76&amp;$AB76,'Age data'!$A$3:$AE$254,10,FALSE))),"",VLOOKUP($Y$58&amp;$Z76&amp;$AB76,'Age data'!$A$3:$AE$254,10,FALSE))</f>
        <v>1.2584704743465635E-2</v>
      </c>
      <c r="AI76" s="20">
        <f>IF(OR(ISERROR(VLOOKUP($Y$58&amp;$Z76&amp;$AB76,'Age data'!$A$3:$AE$254,11,FALSE)),ISBLANK(VLOOKUP($Y$58&amp;$Z76&amp;$AB76,'Age data'!$A$3:$AE$254,11,FALSE))),"",VLOOKUP($Y$58&amp;$Z76&amp;$AB76,'Age data'!$A$3:$AE$254,11,FALSE))</f>
        <v>0.44143272023233299</v>
      </c>
      <c r="AJ76" s="20">
        <f>IF(OR(ISERROR(VLOOKUP($Y$58&amp;$Z76&amp;$AB76,'Age data'!$A$3:$AE$254,12,FALSE)),ISBLANK(VLOOKUP($Y$58&amp;$Z76&amp;$AB76,'Age data'!$A$3:$AE$254,12,FALSE))),"",VLOOKUP($Y$58&amp;$Z76&amp;$AB76,'Age data'!$A$3:$AE$254,12,FALSE))</f>
        <v>1.1616650532429816E-2</v>
      </c>
    </row>
    <row r="77" spans="25:36" x14ac:dyDescent="0.25">
      <c r="Y77" s="25"/>
      <c r="Z77" s="25" t="s">
        <v>2</v>
      </c>
      <c r="AA77" s="33"/>
      <c r="AB77" s="25" t="s">
        <v>12</v>
      </c>
      <c r="AC77" s="20">
        <f>IF(OR(ISERROR(VLOOKUP($Y$58&amp;$Z77&amp;$AB77,'Age data'!$A$3:$AE$254,5,FALSE)),ISBLANK(VLOOKUP($Y$58&amp;$Z77&amp;$AB77,'Age data'!$A$3:$AE$254,5,FALSE))),"",VLOOKUP($Y$58&amp;$Z77&amp;$AB77,'Age data'!$A$3:$AE$254,5,FALSE))</f>
        <v>0.15183673469387754</v>
      </c>
      <c r="AD77" s="20">
        <f>IF(OR(ISERROR(VLOOKUP($Y$58&amp;$Z77&amp;$AB77,'Age data'!$A$3:$AE$254,6,FALSE)),ISBLANK(VLOOKUP($Y$58&amp;$Z77&amp;$AB77,'Age data'!$A$3:$AE$254,6,FALSE))),"",VLOOKUP($Y$58&amp;$Z77&amp;$AB77,'Age data'!$A$3:$AE$254,6,FALSE))</f>
        <v>1.4693877551020407E-2</v>
      </c>
      <c r="AE77" s="20">
        <f>IF(OR(ISERROR(VLOOKUP($Y$58&amp;$Z77&amp;$AB77,'Age data'!$A$3:$AE$254,7,FALSE)),ISBLANK(VLOOKUP($Y$58&amp;$Z77&amp;$AB77,'Age data'!$A$3:$AE$254,7,FALSE))),"",VLOOKUP($Y$58&amp;$Z77&amp;$AB77,'Age data'!$A$3:$AE$254,7,FALSE))</f>
        <v>4.7346938775510203E-2</v>
      </c>
      <c r="AF77" s="20">
        <f>IF(OR(ISERROR(VLOOKUP($Y$58&amp;$Z77&amp;$AB77,'Age data'!$A$3:$AE$254,8,FALSE)),ISBLANK(VLOOKUP($Y$58&amp;$Z77&amp;$AB77,'Age data'!$A$3:$AE$254,8,FALSE))),"",VLOOKUP($Y$58&amp;$Z77&amp;$AB77,'Age data'!$A$3:$AE$254,8,FALSE))</f>
        <v>2.4489795918367346E-3</v>
      </c>
      <c r="AG77" s="20">
        <f>IF(OR(ISERROR(VLOOKUP($Y$58&amp;$Z77&amp;$AB77,'Age data'!$A$3:$AE$254,9,FALSE)),ISBLANK(VLOOKUP($Y$58&amp;$Z77&amp;$AB77,'Age data'!$A$3:$AE$254,9,FALSE))),"",VLOOKUP($Y$58&amp;$Z77&amp;$AB77,'Age data'!$A$3:$AE$254,9,FALSE))</f>
        <v>7.0204081632653056E-2</v>
      </c>
      <c r="AH77" s="20">
        <f>IF(OR(ISERROR(VLOOKUP($Y$58&amp;$Z77&amp;$AB77,'Age data'!$A$3:$AE$254,10,FALSE)),ISBLANK(VLOOKUP($Y$58&amp;$Z77&amp;$AB77,'Age data'!$A$3:$AE$254,10,FALSE))),"",VLOOKUP($Y$58&amp;$Z77&amp;$AB77,'Age data'!$A$3:$AE$254,10,FALSE))</f>
        <v>2.4489795918367346E-3</v>
      </c>
      <c r="AI77" s="20">
        <f>IF(OR(ISERROR(VLOOKUP($Y$58&amp;$Z77&amp;$AB77,'Age data'!$A$3:$AE$254,11,FALSE)),ISBLANK(VLOOKUP($Y$58&amp;$Z77&amp;$AB77,'Age data'!$A$3:$AE$254,11,FALSE))),"",VLOOKUP($Y$58&amp;$Z77&amp;$AB77,'Age data'!$A$3:$AE$254,11,FALSE))</f>
        <v>0.70857142857142852</v>
      </c>
      <c r="AJ77" s="20">
        <f>IF(OR(ISERROR(VLOOKUP($Y$58&amp;$Z77&amp;$AB77,'Age data'!$A$3:$AE$254,12,FALSE)),ISBLANK(VLOOKUP($Y$58&amp;$Z77&amp;$AB77,'Age data'!$A$3:$AE$254,12,FALSE))),"",VLOOKUP($Y$58&amp;$Z77&amp;$AB77,'Age data'!$A$3:$AE$254,12,FALSE))</f>
        <v>2.4489795918367346E-3</v>
      </c>
    </row>
    <row r="78" spans="25:36" x14ac:dyDescent="0.25">
      <c r="Y78" s="25"/>
      <c r="Z78" s="25"/>
      <c r="AA78" s="33"/>
      <c r="AB78" s="25"/>
      <c r="AC78" s="20"/>
      <c r="AD78" s="20"/>
      <c r="AE78" s="20"/>
      <c r="AF78" s="20"/>
      <c r="AG78" s="20"/>
      <c r="AH78" s="20"/>
      <c r="AI78" s="20"/>
      <c r="AJ78" s="20"/>
    </row>
    <row r="79" spans="25:36" x14ac:dyDescent="0.25">
      <c r="Y79" s="25"/>
      <c r="Z79" s="25" t="s">
        <v>32</v>
      </c>
      <c r="AA79" s="25" t="s">
        <v>32</v>
      </c>
      <c r="AB79" s="25" t="s">
        <v>7</v>
      </c>
      <c r="AC79" s="20">
        <f>IF(OR(ISERROR(VLOOKUP($Y$58&amp;$Z79&amp;$AB79,'Age data'!$A$3:$AE$254,5,FALSE)),ISBLANK(VLOOKUP($Y$58&amp;$Z79&amp;$AB79,'Age data'!$A$3:$AE$254,5,FALSE))),"",VLOOKUP($Y$58&amp;$Z79&amp;$AB79,'Age data'!$A$3:$AE$254,5,FALSE))</f>
        <v>0.23097463284379172</v>
      </c>
      <c r="AD79" s="20">
        <f>IF(OR(ISERROR(VLOOKUP($Y$58&amp;$Z79&amp;$AB79,'Age data'!$A$3:$AE$254,6,FALSE)),ISBLANK(VLOOKUP($Y$58&amp;$Z79&amp;$AB79,'Age data'!$A$3:$AE$254,6,FALSE))),"",VLOOKUP($Y$58&amp;$Z79&amp;$AB79,'Age data'!$A$3:$AE$254,6,FALSE))</f>
        <v>5.0734312416555405E-2</v>
      </c>
      <c r="AE79" s="20">
        <f>IF(OR(ISERROR(VLOOKUP($Y$58&amp;$Z79&amp;$AB79,'Age data'!$A$3:$AE$254,7,FALSE)),ISBLANK(VLOOKUP($Y$58&amp;$Z79&amp;$AB79,'Age data'!$A$3:$AE$254,7,FALSE))),"",VLOOKUP($Y$58&amp;$Z79&amp;$AB79,'Age data'!$A$3:$AE$254,7,FALSE))</f>
        <v>2.9372496662216287E-2</v>
      </c>
      <c r="AF79" s="20">
        <f>IF(OR(ISERROR(VLOOKUP($Y$58&amp;$Z79&amp;$AB79,'Age data'!$A$3:$AE$254,8,FALSE)),ISBLANK(VLOOKUP($Y$58&amp;$Z79&amp;$AB79,'Age data'!$A$3:$AE$254,8,FALSE))),"",VLOOKUP($Y$58&amp;$Z79&amp;$AB79,'Age data'!$A$3:$AE$254,8,FALSE))</f>
        <v>0.13084112149532709</v>
      </c>
      <c r="AG79" s="20">
        <f>IF(OR(ISERROR(VLOOKUP($Y$58&amp;$Z79&amp;$AB79,'Age data'!$A$3:$AE$254,9,FALSE)),ISBLANK(VLOOKUP($Y$58&amp;$Z79&amp;$AB79,'Age data'!$A$3:$AE$254,9,FALSE))),"",VLOOKUP($Y$58&amp;$Z79&amp;$AB79,'Age data'!$A$3:$AE$254,9,FALSE))</f>
        <v>0.19092122830440589</v>
      </c>
      <c r="AH79" s="20">
        <f>IF(OR(ISERROR(VLOOKUP($Y$58&amp;$Z79&amp;$AB79,'Age data'!$A$3:$AE$254,10,FALSE)),ISBLANK(VLOOKUP($Y$58&amp;$Z79&amp;$AB79,'Age data'!$A$3:$AE$254,10,FALSE))),"",VLOOKUP($Y$58&amp;$Z79&amp;$AB79,'Age data'!$A$3:$AE$254,10,FALSE))</f>
        <v>6.1415220293724967E-2</v>
      </c>
      <c r="AI79" s="20">
        <f>IF(OR(ISERROR(VLOOKUP($Y$58&amp;$Z79&amp;$AB79,'Age data'!$A$3:$AE$254,11,FALSE)),ISBLANK(VLOOKUP($Y$58&amp;$Z79&amp;$AB79,'Age data'!$A$3:$AE$254,11,FALSE))),"",VLOOKUP($Y$58&amp;$Z79&amp;$AB79,'Age data'!$A$3:$AE$254,11,FALSE))</f>
        <v>8.2777036048064079E-2</v>
      </c>
      <c r="AJ79" s="20">
        <f>IF(OR(ISERROR(VLOOKUP($Y$58&amp;$Z79&amp;$AB79,'Age data'!$A$3:$AE$254,12,FALSE)),ISBLANK(VLOOKUP($Y$58&amp;$Z79&amp;$AB79,'Age data'!$A$3:$AE$254,12,FALSE))),"",VLOOKUP($Y$58&amp;$Z79&amp;$AB79,'Age data'!$A$3:$AE$254,12,FALSE))</f>
        <v>0.22296395193591456</v>
      </c>
    </row>
    <row r="80" spans="25:36" x14ac:dyDescent="0.25">
      <c r="Y80" s="25"/>
      <c r="Z80" s="25" t="s">
        <v>32</v>
      </c>
      <c r="AA80" s="33"/>
      <c r="AB80" s="25" t="s">
        <v>8</v>
      </c>
      <c r="AC80" s="20">
        <f>IF(OR(ISERROR(VLOOKUP($Y$58&amp;$Z80&amp;$AB80,'Age data'!$A$3:$AE$254,5,FALSE)),ISBLANK(VLOOKUP($Y$58&amp;$Z80&amp;$AB80,'Age data'!$A$3:$AE$254,5,FALSE))),"",VLOOKUP($Y$58&amp;$Z80&amp;$AB80,'Age data'!$A$3:$AE$254,5,FALSE))</f>
        <v>0.2382716049382716</v>
      </c>
      <c r="AD80" s="20">
        <f>IF(OR(ISERROR(VLOOKUP($Y$58&amp;$Z80&amp;$AB80,'Age data'!$A$3:$AE$254,6,FALSE)),ISBLANK(VLOOKUP($Y$58&amp;$Z80&amp;$AB80,'Age data'!$A$3:$AE$254,6,FALSE))),"",VLOOKUP($Y$58&amp;$Z80&amp;$AB80,'Age data'!$A$3:$AE$254,6,FALSE))</f>
        <v>4.5679012345679011E-2</v>
      </c>
      <c r="AE80" s="20">
        <f>IF(OR(ISERROR(VLOOKUP($Y$58&amp;$Z80&amp;$AB80,'Age data'!$A$3:$AE$254,7,FALSE)),ISBLANK(VLOOKUP($Y$58&amp;$Z80&amp;$AB80,'Age data'!$A$3:$AE$254,7,FALSE))),"",VLOOKUP($Y$58&amp;$Z80&amp;$AB80,'Age data'!$A$3:$AE$254,7,FALSE))</f>
        <v>1.9753086419753086E-2</v>
      </c>
      <c r="AF80" s="20">
        <f>IF(OR(ISERROR(VLOOKUP($Y$58&amp;$Z80&amp;$AB80,'Age data'!$A$3:$AE$254,8,FALSE)),ISBLANK(VLOOKUP($Y$58&amp;$Z80&amp;$AB80,'Age data'!$A$3:$AE$254,8,FALSE))),"",VLOOKUP($Y$58&amp;$Z80&amp;$AB80,'Age data'!$A$3:$AE$254,8,FALSE))</f>
        <v>0.11851851851851852</v>
      </c>
      <c r="AG80" s="20">
        <f>IF(OR(ISERROR(VLOOKUP($Y$58&amp;$Z80&amp;$AB80,'Age data'!$A$3:$AE$254,9,FALSE)),ISBLANK(VLOOKUP($Y$58&amp;$Z80&amp;$AB80,'Age data'!$A$3:$AE$254,9,FALSE))),"",VLOOKUP($Y$58&amp;$Z80&amp;$AB80,'Age data'!$A$3:$AE$254,9,FALSE))</f>
        <v>0.26296296296296295</v>
      </c>
      <c r="AH80" s="20">
        <f>IF(OR(ISERROR(VLOOKUP($Y$58&amp;$Z80&amp;$AB80,'Age data'!$A$3:$AE$254,10,FALSE)),ISBLANK(VLOOKUP($Y$58&amp;$Z80&amp;$AB80,'Age data'!$A$3:$AE$254,10,FALSE))),"",VLOOKUP($Y$58&amp;$Z80&amp;$AB80,'Age data'!$A$3:$AE$254,10,FALSE))</f>
        <v>4.0740740740740744E-2</v>
      </c>
      <c r="AI80" s="20">
        <f>IF(OR(ISERROR(VLOOKUP($Y$58&amp;$Z80&amp;$AB80,'Age data'!$A$3:$AE$254,11,FALSE)),ISBLANK(VLOOKUP($Y$58&amp;$Z80&amp;$AB80,'Age data'!$A$3:$AE$254,11,FALSE))),"",VLOOKUP($Y$58&amp;$Z80&amp;$AB80,'Age data'!$A$3:$AE$254,11,FALSE))</f>
        <v>7.5308641975308649E-2</v>
      </c>
      <c r="AJ80" s="20">
        <f>IF(OR(ISERROR(VLOOKUP($Y$58&amp;$Z80&amp;$AB80,'Age data'!$A$3:$AE$254,12,FALSE)),ISBLANK(VLOOKUP($Y$58&amp;$Z80&amp;$AB80,'Age data'!$A$3:$AE$254,12,FALSE))),"",VLOOKUP($Y$58&amp;$Z80&amp;$AB80,'Age data'!$A$3:$AE$254,12,FALSE))</f>
        <v>0.19876543209876543</v>
      </c>
    </row>
    <row r="81" spans="25:36" x14ac:dyDescent="0.25">
      <c r="Y81" s="25"/>
      <c r="Z81" s="25" t="s">
        <v>32</v>
      </c>
      <c r="AA81" s="33"/>
      <c r="AB81" s="25" t="s">
        <v>9</v>
      </c>
      <c r="AC81" s="20">
        <f>IF(OR(ISERROR(VLOOKUP($Y$58&amp;$Z81&amp;$AB81,'Age data'!$A$3:$AE$254,5,FALSE)),ISBLANK(VLOOKUP($Y$58&amp;$Z81&amp;$AB81,'Age data'!$A$3:$AE$254,5,FALSE))),"",VLOOKUP($Y$58&amp;$Z81&amp;$AB81,'Age data'!$A$3:$AE$254,5,FALSE))</f>
        <v>0.22995283018867924</v>
      </c>
      <c r="AD81" s="20">
        <f>IF(OR(ISERROR(VLOOKUP($Y$58&amp;$Z81&amp;$AB81,'Age data'!$A$3:$AE$254,6,FALSE)),ISBLANK(VLOOKUP($Y$58&amp;$Z81&amp;$AB81,'Age data'!$A$3:$AE$254,6,FALSE))),"",VLOOKUP($Y$58&amp;$Z81&amp;$AB81,'Age data'!$A$3:$AE$254,6,FALSE))</f>
        <v>5.5424528301886794E-2</v>
      </c>
      <c r="AE81" s="20">
        <f>IF(OR(ISERROR(VLOOKUP($Y$58&amp;$Z81&amp;$AB81,'Age data'!$A$3:$AE$254,7,FALSE)),ISBLANK(VLOOKUP($Y$58&amp;$Z81&amp;$AB81,'Age data'!$A$3:$AE$254,7,FALSE))),"",VLOOKUP($Y$58&amp;$Z81&amp;$AB81,'Age data'!$A$3:$AE$254,7,FALSE))</f>
        <v>3.1839622641509434E-2</v>
      </c>
      <c r="AF81" s="20">
        <f>IF(OR(ISERROR(VLOOKUP($Y$58&amp;$Z81&amp;$AB81,'Age data'!$A$3:$AE$254,8,FALSE)),ISBLANK(VLOOKUP($Y$58&amp;$Z81&amp;$AB81,'Age data'!$A$3:$AE$254,8,FALSE))),"",VLOOKUP($Y$58&amp;$Z81&amp;$AB81,'Age data'!$A$3:$AE$254,8,FALSE))</f>
        <v>7.1933962264150941E-2</v>
      </c>
      <c r="AG81" s="20">
        <f>IF(OR(ISERROR(VLOOKUP($Y$58&amp;$Z81&amp;$AB81,'Age data'!$A$3:$AE$254,9,FALSE)),ISBLANK(VLOOKUP($Y$58&amp;$Z81&amp;$AB81,'Age data'!$A$3:$AE$254,9,FALSE))),"",VLOOKUP($Y$58&amp;$Z81&amp;$AB81,'Age data'!$A$3:$AE$254,9,FALSE))</f>
        <v>0.32665094339622641</v>
      </c>
      <c r="AH81" s="20">
        <f>IF(OR(ISERROR(VLOOKUP($Y$58&amp;$Z81&amp;$AB81,'Age data'!$A$3:$AE$254,10,FALSE)),ISBLANK(VLOOKUP($Y$58&amp;$Z81&amp;$AB81,'Age data'!$A$3:$AE$254,10,FALSE))),"",VLOOKUP($Y$58&amp;$Z81&amp;$AB81,'Age data'!$A$3:$AE$254,10,FALSE))</f>
        <v>2.8301886792452831E-2</v>
      </c>
      <c r="AI81" s="20">
        <f>IF(OR(ISERROR(VLOOKUP($Y$58&amp;$Z81&amp;$AB81,'Age data'!$A$3:$AE$254,11,FALSE)),ISBLANK(VLOOKUP($Y$58&amp;$Z81&amp;$AB81,'Age data'!$A$3:$AE$254,11,FALSE))),"",VLOOKUP($Y$58&amp;$Z81&amp;$AB81,'Age data'!$A$3:$AE$254,11,FALSE))</f>
        <v>0.10259433962264151</v>
      </c>
      <c r="AJ81" s="20">
        <f>IF(OR(ISERROR(VLOOKUP($Y$58&amp;$Z81&amp;$AB81,'Age data'!$A$3:$AE$254,12,FALSE)),ISBLANK(VLOOKUP($Y$58&amp;$Z81&amp;$AB81,'Age data'!$A$3:$AE$254,12,FALSE))),"",VLOOKUP($Y$58&amp;$Z81&amp;$AB81,'Age data'!$A$3:$AE$254,12,FALSE))</f>
        <v>0.15330188679245282</v>
      </c>
    </row>
    <row r="82" spans="25:36" x14ac:dyDescent="0.25">
      <c r="Y82" s="25"/>
      <c r="Z82" s="25" t="s">
        <v>32</v>
      </c>
      <c r="AA82" s="33"/>
      <c r="AB82" s="25" t="s">
        <v>10</v>
      </c>
      <c r="AC82" s="20">
        <f>IF(OR(ISERROR(VLOOKUP($Y$58&amp;$Z82&amp;$AB82,'Age data'!$A$3:$AE$254,5,FALSE)),ISBLANK(VLOOKUP($Y$58&amp;$Z82&amp;$AB82,'Age data'!$A$3:$AE$254,5,FALSE))),"",VLOOKUP($Y$58&amp;$Z82&amp;$AB82,'Age data'!$A$3:$AE$254,5,FALSE))</f>
        <v>0.25786163522012578</v>
      </c>
      <c r="AD82" s="20">
        <f>IF(OR(ISERROR(VLOOKUP($Y$58&amp;$Z82&amp;$AB82,'Age data'!$A$3:$AE$254,6,FALSE)),ISBLANK(VLOOKUP($Y$58&amp;$Z82&amp;$AB82,'Age data'!$A$3:$AE$254,6,FALSE))),"",VLOOKUP($Y$58&amp;$Z82&amp;$AB82,'Age data'!$A$3:$AE$254,6,FALSE))</f>
        <v>5.1886792452830191E-2</v>
      </c>
      <c r="AE82" s="20">
        <f>IF(OR(ISERROR(VLOOKUP($Y$58&amp;$Z82&amp;$AB82,'Age data'!$A$3:$AE$254,7,FALSE)),ISBLANK(VLOOKUP($Y$58&amp;$Z82&amp;$AB82,'Age data'!$A$3:$AE$254,7,FALSE))),"",VLOOKUP($Y$58&amp;$Z82&amp;$AB82,'Age data'!$A$3:$AE$254,7,FALSE))</f>
        <v>5.5031446540880505E-2</v>
      </c>
      <c r="AF82" s="20">
        <f>IF(OR(ISERROR(VLOOKUP($Y$58&amp;$Z82&amp;$AB82,'Age data'!$A$3:$AE$254,8,FALSE)),ISBLANK(VLOOKUP($Y$58&amp;$Z82&amp;$AB82,'Age data'!$A$3:$AE$254,8,FALSE))),"",VLOOKUP($Y$58&amp;$Z82&amp;$AB82,'Age data'!$A$3:$AE$254,8,FALSE))</f>
        <v>2.9874213836477988E-2</v>
      </c>
      <c r="AG82" s="20">
        <f>IF(OR(ISERROR(VLOOKUP($Y$58&amp;$Z82&amp;$AB82,'Age data'!$A$3:$AE$254,9,FALSE)),ISBLANK(VLOOKUP($Y$58&amp;$Z82&amp;$AB82,'Age data'!$A$3:$AE$254,9,FALSE))),"",VLOOKUP($Y$58&amp;$Z82&amp;$AB82,'Age data'!$A$3:$AE$254,9,FALSE))</f>
        <v>0.3191823899371069</v>
      </c>
      <c r="AH82" s="20">
        <f>IF(OR(ISERROR(VLOOKUP($Y$58&amp;$Z82&amp;$AB82,'Age data'!$A$3:$AE$254,10,FALSE)),ISBLANK(VLOOKUP($Y$58&amp;$Z82&amp;$AB82,'Age data'!$A$3:$AE$254,10,FALSE))),"",VLOOKUP($Y$58&amp;$Z82&amp;$AB82,'Age data'!$A$3:$AE$254,10,FALSE))</f>
        <v>2.20125786163522E-2</v>
      </c>
      <c r="AI82" s="20">
        <f>IF(OR(ISERROR(VLOOKUP($Y$58&amp;$Z82&amp;$AB82,'Age data'!$A$3:$AE$254,11,FALSE)),ISBLANK(VLOOKUP($Y$58&amp;$Z82&amp;$AB82,'Age data'!$A$3:$AE$254,11,FALSE))),"",VLOOKUP($Y$58&amp;$Z82&amp;$AB82,'Age data'!$A$3:$AE$254,11,FALSE))</f>
        <v>0.19811320754716982</v>
      </c>
      <c r="AJ82" s="20">
        <f>IF(OR(ISERROR(VLOOKUP($Y$58&amp;$Z82&amp;$AB82,'Age data'!$A$3:$AE$254,12,FALSE)),ISBLANK(VLOOKUP($Y$58&amp;$Z82&amp;$AB82,'Age data'!$A$3:$AE$254,12,FALSE))),"",VLOOKUP($Y$58&amp;$Z82&amp;$AB82,'Age data'!$A$3:$AE$254,12,FALSE))</f>
        <v>6.6037735849056603E-2</v>
      </c>
    </row>
    <row r="83" spans="25:36" x14ac:dyDescent="0.25">
      <c r="Y83" s="25"/>
      <c r="Z83" s="25" t="s">
        <v>32</v>
      </c>
      <c r="AA83" s="33"/>
      <c r="AB83" s="25" t="s">
        <v>11</v>
      </c>
      <c r="AC83" s="20">
        <f>IF(OR(ISERROR(VLOOKUP($Y$58&amp;$Z83&amp;$AB83,'Age data'!$A$3:$AE$254,5,FALSE)),ISBLANK(VLOOKUP($Y$58&amp;$Z83&amp;$AB83,'Age data'!$A$3:$AE$254,5,FALSE))),"",VLOOKUP($Y$58&amp;$Z83&amp;$AB83,'Age data'!$A$3:$AE$254,5,FALSE))</f>
        <v>0.23664122137404581</v>
      </c>
      <c r="AD83" s="20">
        <f>IF(OR(ISERROR(VLOOKUP($Y$58&amp;$Z83&amp;$AB83,'Age data'!$A$3:$AE$254,6,FALSE)),ISBLANK(VLOOKUP($Y$58&amp;$Z83&amp;$AB83,'Age data'!$A$3:$AE$254,6,FALSE))),"",VLOOKUP($Y$58&amp;$Z83&amp;$AB83,'Age data'!$A$3:$AE$254,6,FALSE))</f>
        <v>4.9618320610687022E-2</v>
      </c>
      <c r="AE83" s="20">
        <f>IF(OR(ISERROR(VLOOKUP($Y$58&amp;$Z83&amp;$AB83,'Age data'!$A$3:$AE$254,7,FALSE)),ISBLANK(VLOOKUP($Y$58&amp;$Z83&amp;$AB83,'Age data'!$A$3:$AE$254,7,FALSE))),"",VLOOKUP($Y$58&amp;$Z83&amp;$AB83,'Age data'!$A$3:$AE$254,7,FALSE))</f>
        <v>4.1984732824427481E-2</v>
      </c>
      <c r="AF83" s="20">
        <f>IF(OR(ISERROR(VLOOKUP($Y$58&amp;$Z83&amp;$AB83,'Age data'!$A$3:$AE$254,8,FALSE)),ISBLANK(VLOOKUP($Y$58&amp;$Z83&amp;$AB83,'Age data'!$A$3:$AE$254,8,FALSE))),"",VLOOKUP($Y$58&amp;$Z83&amp;$AB83,'Age data'!$A$3:$AE$254,8,FALSE))</f>
        <v>1.9083969465648856E-2</v>
      </c>
      <c r="AG83" s="20">
        <f>IF(OR(ISERROR(VLOOKUP($Y$58&amp;$Z83&amp;$AB83,'Age data'!$A$3:$AE$254,9,FALSE)),ISBLANK(VLOOKUP($Y$58&amp;$Z83&amp;$AB83,'Age data'!$A$3:$AE$254,9,FALSE))),"",VLOOKUP($Y$58&amp;$Z83&amp;$AB83,'Age data'!$A$3:$AE$254,9,FALSE))</f>
        <v>0.19083969465648856</v>
      </c>
      <c r="AH83" s="20">
        <f>IF(OR(ISERROR(VLOOKUP($Y$58&amp;$Z83&amp;$AB83,'Age data'!$A$3:$AE$254,10,FALSE)),ISBLANK(VLOOKUP($Y$58&amp;$Z83&amp;$AB83,'Age data'!$A$3:$AE$254,10,FALSE))),"",VLOOKUP($Y$58&amp;$Z83&amp;$AB83,'Age data'!$A$3:$AE$254,10,FALSE))</f>
        <v>1.1450381679389313E-2</v>
      </c>
      <c r="AI83" s="20">
        <f>IF(OR(ISERROR(VLOOKUP($Y$58&amp;$Z83&amp;$AB83,'Age data'!$A$3:$AE$254,11,FALSE)),ISBLANK(VLOOKUP($Y$58&amp;$Z83&amp;$AB83,'Age data'!$A$3:$AE$254,11,FALSE))),"",VLOOKUP($Y$58&amp;$Z83&amp;$AB83,'Age data'!$A$3:$AE$254,11,FALSE))</f>
        <v>0.43129770992366412</v>
      </c>
      <c r="AJ83" s="20">
        <f>IF(OR(ISERROR(VLOOKUP($Y$58&amp;$Z83&amp;$AB83,'Age data'!$A$3:$AE$254,12,FALSE)),ISBLANK(VLOOKUP($Y$58&amp;$Z83&amp;$AB83,'Age data'!$A$3:$AE$254,12,FALSE))),"",VLOOKUP($Y$58&amp;$Z83&amp;$AB83,'Age data'!$A$3:$AE$254,12,FALSE))</f>
        <v>1.9083969465648856E-2</v>
      </c>
    </row>
    <row r="84" spans="25:36" x14ac:dyDescent="0.25">
      <c r="Y84" s="25"/>
      <c r="Z84" s="25" t="s">
        <v>32</v>
      </c>
      <c r="AA84" s="63"/>
      <c r="AB84" s="25" t="s">
        <v>12</v>
      </c>
      <c r="AC84" s="20">
        <f>IF(OR(ISERROR(VLOOKUP($Y$58&amp;$Z84&amp;$AB84,'Age data'!$A$3:$AE$254,5,FALSE)),ISBLANK(VLOOKUP($Y$58&amp;$Z84&amp;$AB84,'Age data'!$A$3:$AE$254,5,FALSE))),"",VLOOKUP($Y$58&amp;$Z84&amp;$AB84,'Age data'!$A$3:$AE$254,5,FALSE))</f>
        <v>0.14930555555555555</v>
      </c>
      <c r="AD84" s="20">
        <f>IF(OR(ISERROR(VLOOKUP($Y$58&amp;$Z84&amp;$AB84,'Age data'!$A$3:$AE$254,6,FALSE)),ISBLANK(VLOOKUP($Y$58&amp;$Z84&amp;$AB84,'Age data'!$A$3:$AE$254,6,FALSE))),"",VLOOKUP($Y$58&amp;$Z84&amp;$AB84,'Age data'!$A$3:$AE$254,6,FALSE))</f>
        <v>2.0833333333333332E-2</v>
      </c>
      <c r="AE84" s="20">
        <f>IF(OR(ISERROR(VLOOKUP($Y$58&amp;$Z84&amp;$AB84,'Age data'!$A$3:$AE$254,7,FALSE)),ISBLANK(VLOOKUP($Y$58&amp;$Z84&amp;$AB84,'Age data'!$A$3:$AE$254,7,FALSE))),"",VLOOKUP($Y$58&amp;$Z84&amp;$AB84,'Age data'!$A$3:$AE$254,7,FALSE))</f>
        <v>4.8611111111111112E-2</v>
      </c>
      <c r="AF84" s="20">
        <f>IF(OR(ISERROR(VLOOKUP($Y$58&amp;$Z84&amp;$AB84,'Age data'!$A$3:$AE$254,8,FALSE)),ISBLANK(VLOOKUP($Y$58&amp;$Z84&amp;$AB84,'Age data'!$A$3:$AE$254,8,FALSE))),"",VLOOKUP($Y$58&amp;$Z84&amp;$AB84,'Age data'!$A$3:$AE$254,8,FALSE))</f>
        <v>3.472222222222222E-3</v>
      </c>
      <c r="AG84" s="20">
        <f>IF(OR(ISERROR(VLOOKUP($Y$58&amp;$Z84&amp;$AB84,'Age data'!$A$3:$AE$254,9,FALSE)),ISBLANK(VLOOKUP($Y$58&amp;$Z84&amp;$AB84,'Age data'!$A$3:$AE$254,9,FALSE))),"",VLOOKUP($Y$58&amp;$Z84&amp;$AB84,'Age data'!$A$3:$AE$254,9,FALSE))</f>
        <v>4.8611111111111112E-2</v>
      </c>
      <c r="AH84" s="20">
        <f>IF(OR(ISERROR(VLOOKUP($Y$58&amp;$Z84&amp;$AB84,'Age data'!$A$3:$AE$254,10,FALSE)),ISBLANK(VLOOKUP($Y$58&amp;$Z84&amp;$AB84,'Age data'!$A$3:$AE$254,10,FALSE))),"",VLOOKUP($Y$58&amp;$Z84&amp;$AB84,'Age data'!$A$3:$AE$254,10,FALSE))</f>
        <v>3.472222222222222E-3</v>
      </c>
      <c r="AI84" s="20">
        <f>IF(OR(ISERROR(VLOOKUP($Y$58&amp;$Z84&amp;$AB84,'Age data'!$A$3:$AE$254,11,FALSE)),ISBLANK(VLOOKUP($Y$58&amp;$Z84&amp;$AB84,'Age data'!$A$3:$AE$254,11,FALSE))),"",VLOOKUP($Y$58&amp;$Z84&amp;$AB84,'Age data'!$A$3:$AE$254,11,FALSE))</f>
        <v>0.72222222222222221</v>
      </c>
      <c r="AJ84" s="20">
        <f>IF(OR(ISERROR(VLOOKUP($Y$58&amp;$Z84&amp;$AB84,'Age data'!$A$3:$AE$254,12,FALSE)),ISBLANK(VLOOKUP($Y$58&amp;$Z84&amp;$AB84,'Age data'!$A$3:$AE$254,12,FALSE))),"",VLOOKUP($Y$58&amp;$Z84&amp;$AB84,'Age data'!$A$3:$AE$254,12,FALSE))</f>
        <v>3.472222222222222E-3</v>
      </c>
    </row>
    <row r="85" spans="25:36" x14ac:dyDescent="0.25">
      <c r="Y85" s="25"/>
      <c r="Z85" s="25"/>
      <c r="AA85" s="63"/>
      <c r="AB85" s="25"/>
      <c r="AC85" s="20"/>
      <c r="AD85" s="20"/>
      <c r="AE85" s="20"/>
      <c r="AF85" s="20"/>
      <c r="AG85" s="20"/>
      <c r="AH85" s="20"/>
      <c r="AI85" s="20"/>
      <c r="AJ85" s="20"/>
    </row>
    <row r="86" spans="25:36" x14ac:dyDescent="0.25">
      <c r="Y86" s="25"/>
      <c r="Z86" s="25" t="s">
        <v>3</v>
      </c>
      <c r="AA86" s="25" t="s">
        <v>3</v>
      </c>
      <c r="AB86" s="25" t="s">
        <v>7</v>
      </c>
      <c r="AC86" s="20">
        <f>IF(OR(ISERROR(VLOOKUP($Y$58&amp;$Z86&amp;$AB86,'Age data'!$A$3:$AE$254,5,FALSE)),ISBLANK(VLOOKUP($Y$58&amp;$Z86&amp;$AB86,'Age data'!$A$3:$AE$254,5,FALSE))),"",VLOOKUP($Y$58&amp;$Z86&amp;$AB86,'Age data'!$A$3:$AE$254,5,FALSE))</f>
        <v>8.7591240875912413E-2</v>
      </c>
      <c r="AD86" s="20">
        <f>IF(OR(ISERROR(VLOOKUP($Y$58&amp;$Z86&amp;$AB86,'Age data'!$A$3:$AE$254,6,FALSE)),ISBLANK(VLOOKUP($Y$58&amp;$Z86&amp;$AB86,'Age data'!$A$3:$AE$254,6,FALSE))),"",VLOOKUP($Y$58&amp;$Z86&amp;$AB86,'Age data'!$A$3:$AE$254,6,FALSE))</f>
        <v>0.16058394160583941</v>
      </c>
      <c r="AE86" s="20">
        <f>IF(OR(ISERROR(VLOOKUP($Y$58&amp;$Z86&amp;$AB86,'Age data'!$A$3:$AE$254,7,FALSE)),ISBLANK(VLOOKUP($Y$58&amp;$Z86&amp;$AB86,'Age data'!$A$3:$AE$254,7,FALSE))),"",VLOOKUP($Y$58&amp;$Z86&amp;$AB86,'Age data'!$A$3:$AE$254,7,FALSE))</f>
        <v>5.5961070559610707E-2</v>
      </c>
      <c r="AF86" s="20">
        <f>IF(OR(ISERROR(VLOOKUP($Y$58&amp;$Z86&amp;$AB86,'Age data'!$A$3:$AE$254,8,FALSE)),ISBLANK(VLOOKUP($Y$58&amp;$Z86&amp;$AB86,'Age data'!$A$3:$AE$254,8,FALSE))),"",VLOOKUP($Y$58&amp;$Z86&amp;$AB86,'Age data'!$A$3:$AE$254,8,FALSE))</f>
        <v>6.0827250608272508E-2</v>
      </c>
      <c r="AG86" s="20">
        <f>IF(OR(ISERROR(VLOOKUP($Y$58&amp;$Z86&amp;$AB86,'Age data'!$A$3:$AE$254,9,FALSE)),ISBLANK(VLOOKUP($Y$58&amp;$Z86&amp;$AB86,'Age data'!$A$3:$AE$254,9,FALSE))),"",VLOOKUP($Y$58&amp;$Z86&amp;$AB86,'Age data'!$A$3:$AE$254,9,FALSE))</f>
        <v>6.3260340632603412E-2</v>
      </c>
      <c r="AH86" s="20">
        <f>IF(OR(ISERROR(VLOOKUP($Y$58&amp;$Z86&amp;$AB86,'Age data'!$A$3:$AE$254,10,FALSE)),ISBLANK(VLOOKUP($Y$58&amp;$Z86&amp;$AB86,'Age data'!$A$3:$AE$254,10,FALSE))),"",VLOOKUP($Y$58&amp;$Z86&amp;$AB86,'Age data'!$A$3:$AE$254,10,FALSE))</f>
        <v>0.15085158150851583</v>
      </c>
      <c r="AI86" s="20">
        <f>IF(OR(ISERROR(VLOOKUP($Y$58&amp;$Z86&amp;$AB86,'Age data'!$A$3:$AE$254,11,FALSE)),ISBLANK(VLOOKUP($Y$58&amp;$Z86&amp;$AB86,'Age data'!$A$3:$AE$254,11,FALSE))),"",VLOOKUP($Y$58&amp;$Z86&amp;$AB86,'Age data'!$A$3:$AE$254,11,FALSE))</f>
        <v>0.170316301703163</v>
      </c>
      <c r="AJ86" s="20">
        <f>IF(OR(ISERROR(VLOOKUP($Y$58&amp;$Z86&amp;$AB86,'Age data'!$A$3:$AE$254,12,FALSE)),ISBLANK(VLOOKUP($Y$58&amp;$Z86&amp;$AB86,'Age data'!$A$3:$AE$254,12,FALSE))),"",VLOOKUP($Y$58&amp;$Z86&amp;$AB86,'Age data'!$A$3:$AE$254,12,FALSE))</f>
        <v>0.25060827250608275</v>
      </c>
    </row>
    <row r="87" spans="25:36" x14ac:dyDescent="0.25">
      <c r="Y87" s="25"/>
      <c r="Z87" s="25" t="s">
        <v>3</v>
      </c>
      <c r="AA87" s="33"/>
      <c r="AB87" s="25" t="s">
        <v>8</v>
      </c>
      <c r="AC87" s="20">
        <f>IF(OR(ISERROR(VLOOKUP($Y$58&amp;$Z87&amp;$AB87,'Age data'!$A$3:$AE$254,5,FALSE)),ISBLANK(VLOOKUP($Y$58&amp;$Z87&amp;$AB87,'Age data'!$A$3:$AE$254,5,FALSE))),"",VLOOKUP($Y$58&amp;$Z87&amp;$AB87,'Age data'!$A$3:$AE$254,5,FALSE))</f>
        <v>6.765327695560254E-2</v>
      </c>
      <c r="AD87" s="20">
        <f>IF(OR(ISERROR(VLOOKUP($Y$58&amp;$Z87&amp;$AB87,'Age data'!$A$3:$AE$254,6,FALSE)),ISBLANK(VLOOKUP($Y$58&amp;$Z87&amp;$AB87,'Age data'!$A$3:$AE$254,6,FALSE))),"",VLOOKUP($Y$58&amp;$Z87&amp;$AB87,'Age data'!$A$3:$AE$254,6,FALSE))</f>
        <v>0.1226215644820296</v>
      </c>
      <c r="AE87" s="20">
        <f>IF(OR(ISERROR(VLOOKUP($Y$58&amp;$Z87&amp;$AB87,'Age data'!$A$3:$AE$254,7,FALSE)),ISBLANK(VLOOKUP($Y$58&amp;$Z87&amp;$AB87,'Age data'!$A$3:$AE$254,7,FALSE))),"",VLOOKUP($Y$58&amp;$Z87&amp;$AB87,'Age data'!$A$3:$AE$254,7,FALSE))</f>
        <v>8.0338266384778007E-2</v>
      </c>
      <c r="AF87" s="20">
        <f>IF(OR(ISERROR(VLOOKUP($Y$58&amp;$Z87&amp;$AB87,'Age data'!$A$3:$AE$254,8,FALSE)),ISBLANK(VLOOKUP($Y$58&amp;$Z87&amp;$AB87,'Age data'!$A$3:$AE$254,8,FALSE))),"",VLOOKUP($Y$58&amp;$Z87&amp;$AB87,'Age data'!$A$3:$AE$254,8,FALSE))</f>
        <v>5.2854122621564484E-2</v>
      </c>
      <c r="AG87" s="20">
        <f>IF(OR(ISERROR(VLOOKUP($Y$58&amp;$Z87&amp;$AB87,'Age data'!$A$3:$AE$254,9,FALSE)),ISBLANK(VLOOKUP($Y$58&amp;$Z87&amp;$AB87,'Age data'!$A$3:$AE$254,9,FALSE))),"",VLOOKUP($Y$58&amp;$Z87&amp;$AB87,'Age data'!$A$3:$AE$254,9,FALSE))</f>
        <v>0.10359408033826638</v>
      </c>
      <c r="AH87" s="20">
        <f>IF(OR(ISERROR(VLOOKUP($Y$58&amp;$Z87&amp;$AB87,'Age data'!$A$3:$AE$254,10,FALSE)),ISBLANK(VLOOKUP($Y$58&amp;$Z87&amp;$AB87,'Age data'!$A$3:$AE$254,10,FALSE))),"",VLOOKUP($Y$58&amp;$Z87&amp;$AB87,'Age data'!$A$3:$AE$254,10,FALSE))</f>
        <v>0.10993657505285412</v>
      </c>
      <c r="AI87" s="20">
        <f>IF(OR(ISERROR(VLOOKUP($Y$58&amp;$Z87&amp;$AB87,'Age data'!$A$3:$AE$254,11,FALSE)),ISBLANK(VLOOKUP($Y$58&amp;$Z87&amp;$AB87,'Age data'!$A$3:$AE$254,11,FALSE))),"",VLOOKUP($Y$58&amp;$Z87&amp;$AB87,'Age data'!$A$3:$AE$254,11,FALSE))</f>
        <v>0.29175475687103591</v>
      </c>
      <c r="AJ87" s="20">
        <f>IF(OR(ISERROR(VLOOKUP($Y$58&amp;$Z87&amp;$AB87,'Age data'!$A$3:$AE$254,12,FALSE)),ISBLANK(VLOOKUP($Y$58&amp;$Z87&amp;$AB87,'Age data'!$A$3:$AE$254,12,FALSE))),"",VLOOKUP($Y$58&amp;$Z87&amp;$AB87,'Age data'!$A$3:$AE$254,12,FALSE))</f>
        <v>0.17124735729386892</v>
      </c>
    </row>
    <row r="88" spans="25:36" x14ac:dyDescent="0.25">
      <c r="Y88" s="25"/>
      <c r="Z88" s="25" t="s">
        <v>3</v>
      </c>
      <c r="AA88" s="33"/>
      <c r="AB88" s="25" t="s">
        <v>9</v>
      </c>
      <c r="AC88" s="20">
        <f>IF(OR(ISERROR(VLOOKUP($Y$58&amp;$Z88&amp;$AB88,'Age data'!$A$3:$AE$254,5,FALSE)),ISBLANK(VLOOKUP($Y$58&amp;$Z88&amp;$AB88,'Age data'!$A$3:$AE$254,5,FALSE))),"",VLOOKUP($Y$58&amp;$Z88&amp;$AB88,'Age data'!$A$3:$AE$254,5,FALSE))</f>
        <v>0.10318664643399089</v>
      </c>
      <c r="AD88" s="20">
        <f>IF(OR(ISERROR(VLOOKUP($Y$58&amp;$Z88&amp;$AB88,'Age data'!$A$3:$AE$254,6,FALSE)),ISBLANK(VLOOKUP($Y$58&amp;$Z88&amp;$AB88,'Age data'!$A$3:$AE$254,6,FALSE))),"",VLOOKUP($Y$58&amp;$Z88&amp;$AB88,'Age data'!$A$3:$AE$254,6,FALSE))</f>
        <v>9.8634294385432475E-2</v>
      </c>
      <c r="AE88" s="20">
        <f>IF(OR(ISERROR(VLOOKUP($Y$58&amp;$Z88&amp;$AB88,'Age data'!$A$3:$AE$254,7,FALSE)),ISBLANK(VLOOKUP($Y$58&amp;$Z88&amp;$AB88,'Age data'!$A$3:$AE$254,7,FALSE))),"",VLOOKUP($Y$58&amp;$Z88&amp;$AB88,'Age data'!$A$3:$AE$254,7,FALSE))</f>
        <v>0.13353566009104703</v>
      </c>
      <c r="AF88" s="20">
        <f>IF(OR(ISERROR(VLOOKUP($Y$58&amp;$Z88&amp;$AB88,'Age data'!$A$3:$AE$254,8,FALSE)),ISBLANK(VLOOKUP($Y$58&amp;$Z88&amp;$AB88,'Age data'!$A$3:$AE$254,8,FALSE))),"",VLOOKUP($Y$58&amp;$Z88&amp;$AB88,'Age data'!$A$3:$AE$254,8,FALSE))</f>
        <v>2.4279210925644917E-2</v>
      </c>
      <c r="AG88" s="20">
        <f>IF(OR(ISERROR(VLOOKUP($Y$58&amp;$Z88&amp;$AB88,'Age data'!$A$3:$AE$254,9,FALSE)),ISBLANK(VLOOKUP($Y$58&amp;$Z88&amp;$AB88,'Age data'!$A$3:$AE$254,9,FALSE))),"",VLOOKUP($Y$58&amp;$Z88&amp;$AB88,'Age data'!$A$3:$AE$254,9,FALSE))</f>
        <v>9.7116843702579669E-2</v>
      </c>
      <c r="AH88" s="20">
        <f>IF(OR(ISERROR(VLOOKUP($Y$58&amp;$Z88&amp;$AB88,'Age data'!$A$3:$AE$254,10,FALSE)),ISBLANK(VLOOKUP($Y$58&amp;$Z88&amp;$AB88,'Age data'!$A$3:$AE$254,10,FALSE))),"",VLOOKUP($Y$58&amp;$Z88&amp;$AB88,'Age data'!$A$3:$AE$254,10,FALSE))</f>
        <v>6.3732928679817905E-2</v>
      </c>
      <c r="AI88" s="20">
        <f>IF(OR(ISERROR(VLOOKUP($Y$58&amp;$Z88&amp;$AB88,'Age data'!$A$3:$AE$254,11,FALSE)),ISBLANK(VLOOKUP($Y$58&amp;$Z88&amp;$AB88,'Age data'!$A$3:$AE$254,11,FALSE))),"",VLOOKUP($Y$58&amp;$Z88&amp;$AB88,'Age data'!$A$3:$AE$254,11,FALSE))</f>
        <v>0.38694992412746587</v>
      </c>
      <c r="AJ88" s="20">
        <f>IF(OR(ISERROR(VLOOKUP($Y$58&amp;$Z88&amp;$AB88,'Age data'!$A$3:$AE$254,12,FALSE)),ISBLANK(VLOOKUP($Y$58&amp;$Z88&amp;$AB88,'Age data'!$A$3:$AE$254,12,FALSE))),"",VLOOKUP($Y$58&amp;$Z88&amp;$AB88,'Age data'!$A$3:$AE$254,12,FALSE))</f>
        <v>9.2564491654021239E-2</v>
      </c>
    </row>
    <row r="89" spans="25:36" x14ac:dyDescent="0.25">
      <c r="Y89" s="25"/>
      <c r="Z89" s="25" t="s">
        <v>3</v>
      </c>
      <c r="AA89" s="33"/>
      <c r="AB89" s="25" t="s">
        <v>10</v>
      </c>
      <c r="AC89" s="20">
        <f>IF(OR(ISERROR(VLOOKUP($Y$58&amp;$Z89&amp;$AB89,'Age data'!$A$3:$AE$254,5,FALSE)),ISBLANK(VLOOKUP($Y$58&amp;$Z89&amp;$AB89,'Age data'!$A$3:$AE$254,5,FALSE))),"",VLOOKUP($Y$58&amp;$Z89&amp;$AB89,'Age data'!$A$3:$AE$254,5,FALSE))</f>
        <v>9.7035040431266845E-2</v>
      </c>
      <c r="AD89" s="20">
        <f>IF(OR(ISERROR(VLOOKUP($Y$58&amp;$Z89&amp;$AB89,'Age data'!$A$3:$AE$254,6,FALSE)),ISBLANK(VLOOKUP($Y$58&amp;$Z89&amp;$AB89,'Age data'!$A$3:$AE$254,6,FALSE))),"",VLOOKUP($Y$58&amp;$Z89&amp;$AB89,'Age data'!$A$3:$AE$254,6,FALSE))</f>
        <v>5.8400718778077267E-2</v>
      </c>
      <c r="AE89" s="20">
        <f>IF(OR(ISERROR(VLOOKUP($Y$58&amp;$Z89&amp;$AB89,'Age data'!$A$3:$AE$254,7,FALSE)),ISBLANK(VLOOKUP($Y$58&amp;$Z89&amp;$AB89,'Age data'!$A$3:$AE$254,7,FALSE))),"",VLOOKUP($Y$58&amp;$Z89&amp;$AB89,'Age data'!$A$3:$AE$254,7,FALSE))</f>
        <v>0.11949685534591195</v>
      </c>
      <c r="AF89" s="20">
        <f>IF(OR(ISERROR(VLOOKUP($Y$58&amp;$Z89&amp;$AB89,'Age data'!$A$3:$AE$254,8,FALSE)),ISBLANK(VLOOKUP($Y$58&amp;$Z89&amp;$AB89,'Age data'!$A$3:$AE$254,8,FALSE))),"",VLOOKUP($Y$58&amp;$Z89&amp;$AB89,'Age data'!$A$3:$AE$254,8,FALSE))</f>
        <v>9.883198562443846E-3</v>
      </c>
      <c r="AG89" s="20">
        <f>IF(OR(ISERROR(VLOOKUP($Y$58&amp;$Z89&amp;$AB89,'Age data'!$A$3:$AE$254,9,FALSE)),ISBLANK(VLOOKUP($Y$58&amp;$Z89&amp;$AB89,'Age data'!$A$3:$AE$254,9,FALSE))),"",VLOOKUP($Y$58&amp;$Z89&amp;$AB89,'Age data'!$A$3:$AE$254,9,FALSE))</f>
        <v>8.5354896675651395E-2</v>
      </c>
      <c r="AH89" s="20">
        <f>IF(OR(ISERROR(VLOOKUP($Y$58&amp;$Z89&amp;$AB89,'Age data'!$A$3:$AE$254,10,FALSE)),ISBLANK(VLOOKUP($Y$58&amp;$Z89&amp;$AB89,'Age data'!$A$3:$AE$254,10,FALSE))),"",VLOOKUP($Y$58&amp;$Z89&amp;$AB89,'Age data'!$A$3:$AE$254,10,FALSE))</f>
        <v>4.3126684636118601E-2</v>
      </c>
      <c r="AI89" s="20">
        <f>IF(OR(ISERROR(VLOOKUP($Y$58&amp;$Z89&amp;$AB89,'Age data'!$A$3:$AE$254,11,FALSE)),ISBLANK(VLOOKUP($Y$58&amp;$Z89&amp;$AB89,'Age data'!$A$3:$AE$254,11,FALSE))),"",VLOOKUP($Y$58&amp;$Z89&amp;$AB89,'Age data'!$A$3:$AE$254,11,FALSE))</f>
        <v>0.56424079065588495</v>
      </c>
      <c r="AJ89" s="20">
        <f>IF(OR(ISERROR(VLOOKUP($Y$58&amp;$Z89&amp;$AB89,'Age data'!$A$3:$AE$254,12,FALSE)),ISBLANK(VLOOKUP($Y$58&amp;$Z89&amp;$AB89,'Age data'!$A$3:$AE$254,12,FALSE))),"",VLOOKUP($Y$58&amp;$Z89&amp;$AB89,'Age data'!$A$3:$AE$254,12,FALSE))</f>
        <v>2.2461814914645103E-2</v>
      </c>
    </row>
    <row r="90" spans="25:36" x14ac:dyDescent="0.25">
      <c r="Y90" s="25"/>
      <c r="Z90" s="25" t="s">
        <v>3</v>
      </c>
      <c r="AA90" s="33"/>
      <c r="AB90" s="25" t="s">
        <v>11</v>
      </c>
      <c r="AC90" s="20">
        <f>IF(OR(ISERROR(VLOOKUP($Y$58&amp;$Z90&amp;$AB90,'Age data'!$A$3:$AE$254,5,FALSE)),ISBLANK(VLOOKUP($Y$58&amp;$Z90&amp;$AB90,'Age data'!$A$3:$AE$254,5,FALSE))),"",VLOOKUP($Y$58&amp;$Z90&amp;$AB90,'Age data'!$A$3:$AE$254,5,FALSE))</f>
        <v>8.1827842720510094E-2</v>
      </c>
      <c r="AD90" s="20">
        <f>IF(OR(ISERROR(VLOOKUP($Y$58&amp;$Z90&amp;$AB90,'Age data'!$A$3:$AE$254,6,FALSE)),ISBLANK(VLOOKUP($Y$58&amp;$Z90&amp;$AB90,'Age data'!$A$3:$AE$254,6,FALSE))),"",VLOOKUP($Y$58&amp;$Z90&amp;$AB90,'Age data'!$A$3:$AE$254,6,FALSE))</f>
        <v>1.9128586609989374E-2</v>
      </c>
      <c r="AE90" s="20">
        <f>IF(OR(ISERROR(VLOOKUP($Y$58&amp;$Z90&amp;$AB90,'Age data'!$A$3:$AE$254,7,FALSE)),ISBLANK(VLOOKUP($Y$58&amp;$Z90&amp;$AB90,'Age data'!$A$3:$AE$254,7,FALSE))),"",VLOOKUP($Y$58&amp;$Z90&amp;$AB90,'Age data'!$A$3:$AE$254,7,FALSE))</f>
        <v>7.7577045696068006E-2</v>
      </c>
      <c r="AF90" s="20">
        <f>IF(OR(ISERROR(VLOOKUP($Y$58&amp;$Z90&amp;$AB90,'Age data'!$A$3:$AE$254,8,FALSE)),ISBLANK(VLOOKUP($Y$58&amp;$Z90&amp;$AB90,'Age data'!$A$3:$AE$254,8,FALSE))),"",VLOOKUP($Y$58&amp;$Z90&amp;$AB90,'Age data'!$A$3:$AE$254,8,FALSE))</f>
        <v>4.2507970244420826E-3</v>
      </c>
      <c r="AG90" s="20">
        <f>IF(OR(ISERROR(VLOOKUP($Y$58&amp;$Z90&amp;$AB90,'Age data'!$A$3:$AE$254,9,FALSE)),ISBLANK(VLOOKUP($Y$58&amp;$Z90&amp;$AB90,'Age data'!$A$3:$AE$254,9,FALSE))),"",VLOOKUP($Y$58&amp;$Z90&amp;$AB90,'Age data'!$A$3:$AE$254,9,FALSE))</f>
        <v>5.526036131774708E-2</v>
      </c>
      <c r="AH90" s="20">
        <f>IF(OR(ISERROR(VLOOKUP($Y$58&amp;$Z90&amp;$AB90,'Age data'!$A$3:$AE$254,10,FALSE)),ISBLANK(VLOOKUP($Y$58&amp;$Z90&amp;$AB90,'Age data'!$A$3:$AE$254,10,FALSE))),"",VLOOKUP($Y$58&amp;$Z90&amp;$AB90,'Age data'!$A$3:$AE$254,10,FALSE))</f>
        <v>2.2316684378320937E-2</v>
      </c>
      <c r="AI90" s="20">
        <f>IF(OR(ISERROR(VLOOKUP($Y$58&amp;$Z90&amp;$AB90,'Age data'!$A$3:$AE$254,11,FALSE)),ISBLANK(VLOOKUP($Y$58&amp;$Z90&amp;$AB90,'Age data'!$A$3:$AE$254,11,FALSE))),"",VLOOKUP($Y$58&amp;$Z90&amp;$AB90,'Age data'!$A$3:$AE$254,11,FALSE))</f>
        <v>0.73645058448459089</v>
      </c>
      <c r="AJ90" s="20">
        <f>IF(OR(ISERROR(VLOOKUP($Y$58&amp;$Z90&amp;$AB90,'Age data'!$A$3:$AE$254,12,FALSE)),ISBLANK(VLOOKUP($Y$58&amp;$Z90&amp;$AB90,'Age data'!$A$3:$AE$254,12,FALSE))),"",VLOOKUP($Y$58&amp;$Z90&amp;$AB90,'Age data'!$A$3:$AE$254,12,FALSE))</f>
        <v>3.188097768331562E-3</v>
      </c>
    </row>
    <row r="91" spans="25:36" x14ac:dyDescent="0.25">
      <c r="Y91" s="25"/>
      <c r="Z91" s="25" t="s">
        <v>3</v>
      </c>
      <c r="AA91" s="33"/>
      <c r="AB91" s="25" t="s">
        <v>12</v>
      </c>
      <c r="AC91" s="20">
        <f>IF(OR(ISERROR(VLOOKUP($Y$58&amp;$Z91&amp;$AB91,'Age data'!$A$3:$AE$254,5,FALSE)),ISBLANK(VLOOKUP($Y$58&amp;$Z91&amp;$AB91,'Age data'!$A$3:$AE$254,5,FALSE))),"",VLOOKUP($Y$58&amp;$Z91&amp;$AB91,'Age data'!$A$3:$AE$254,5,FALSE))</f>
        <v>3.6756126021003498E-2</v>
      </c>
      <c r="AD91" s="20">
        <f>IF(OR(ISERROR(VLOOKUP($Y$58&amp;$Z91&amp;$AB91,'Age data'!$A$3:$AE$254,6,FALSE)),ISBLANK(VLOOKUP($Y$58&amp;$Z91&amp;$AB91,'Age data'!$A$3:$AE$254,6,FALSE))),"",VLOOKUP($Y$58&amp;$Z91&amp;$AB91,'Age data'!$A$3:$AE$254,6,FALSE))</f>
        <v>6.4177362893815633E-3</v>
      </c>
      <c r="AE91" s="20">
        <f>IF(OR(ISERROR(VLOOKUP($Y$58&amp;$Z91&amp;$AB91,'Age data'!$A$3:$AE$254,7,FALSE)),ISBLANK(VLOOKUP($Y$58&amp;$Z91&amp;$AB91,'Age data'!$A$3:$AE$254,7,FALSE))),"",VLOOKUP($Y$58&amp;$Z91&amp;$AB91,'Age data'!$A$3:$AE$254,7,FALSE))</f>
        <v>4.7841306884480746E-2</v>
      </c>
      <c r="AF91" s="20">
        <f>IF(OR(ISERROR(VLOOKUP($Y$58&amp;$Z91&amp;$AB91,'Age data'!$A$3:$AE$254,8,FALSE)),ISBLANK(VLOOKUP($Y$58&amp;$Z91&amp;$AB91,'Age data'!$A$3:$AE$254,8,FALSE))),"",VLOOKUP($Y$58&amp;$Z91&amp;$AB91,'Age data'!$A$3:$AE$254,8,FALSE))</f>
        <v>1.750291715285881E-3</v>
      </c>
      <c r="AG91" s="20">
        <f>IF(OR(ISERROR(VLOOKUP($Y$58&amp;$Z91&amp;$AB91,'Age data'!$A$3:$AE$254,9,FALSE)),ISBLANK(VLOOKUP($Y$58&amp;$Z91&amp;$AB91,'Age data'!$A$3:$AE$254,9,FALSE))),"",VLOOKUP($Y$58&amp;$Z91&amp;$AB91,'Age data'!$A$3:$AE$254,9,FALSE))</f>
        <v>1.8086347724620769E-2</v>
      </c>
      <c r="AH91" s="20">
        <f>IF(OR(ISERROR(VLOOKUP($Y$58&amp;$Z91&amp;$AB91,'Age data'!$A$3:$AE$254,10,FALSE)),ISBLANK(VLOOKUP($Y$58&amp;$Z91&amp;$AB91,'Age data'!$A$3:$AE$254,10,FALSE))),"",VLOOKUP($Y$58&amp;$Z91&amp;$AB91,'Age data'!$A$3:$AE$254,10,FALSE))</f>
        <v>3.5005834305717621E-3</v>
      </c>
      <c r="AI91" s="20">
        <f>IF(OR(ISERROR(VLOOKUP($Y$58&amp;$Z91&amp;$AB91,'Age data'!$A$3:$AE$254,11,FALSE)),ISBLANK(VLOOKUP($Y$58&amp;$Z91&amp;$AB91,'Age data'!$A$3:$AE$254,11,FALSE))),"",VLOOKUP($Y$58&amp;$Z91&amp;$AB91,'Age data'!$A$3:$AE$254,11,FALSE))</f>
        <v>0.8856476079346558</v>
      </c>
      <c r="AJ91" s="20">
        <f>IF(OR(ISERROR(VLOOKUP($Y$58&amp;$Z91&amp;$AB91,'Age data'!$A$3:$AE$254,12,FALSE)),ISBLANK(VLOOKUP($Y$58&amp;$Z91&amp;$AB91,'Age data'!$A$3:$AE$254,12,FALSE))),"",VLOOKUP($Y$58&amp;$Z91&amp;$AB91,'Age data'!$A$3:$AE$254,12,FALSE))</f>
        <v>0</v>
      </c>
    </row>
    <row r="92" spans="25:36" x14ac:dyDescent="0.25">
      <c r="Y92" s="25"/>
      <c r="Z92" s="25"/>
      <c r="AA92" s="33"/>
      <c r="AB92" s="25"/>
      <c r="AC92" s="20"/>
      <c r="AD92" s="20"/>
      <c r="AE92" s="20"/>
      <c r="AF92" s="20"/>
      <c r="AG92" s="20"/>
      <c r="AH92" s="20"/>
      <c r="AI92" s="20"/>
      <c r="AJ92" s="20"/>
    </row>
    <row r="93" spans="25:36" x14ac:dyDescent="0.25">
      <c r="Y93" s="25"/>
      <c r="Z93" s="25" t="s">
        <v>4</v>
      </c>
      <c r="AA93" s="25" t="s">
        <v>4</v>
      </c>
      <c r="AB93" s="25" t="s">
        <v>7</v>
      </c>
      <c r="AC93" s="20">
        <f>IF(OR(ISERROR(VLOOKUP($Y$58&amp;$Z93&amp;$AB93,'Age data'!$A$3:$AE$254,5,FALSE)),ISBLANK(VLOOKUP($Y$58&amp;$Z93&amp;$AB93,'Age data'!$A$3:$AE$254,5,FALSE))),"",VLOOKUP($Y$58&amp;$Z93&amp;$AB93,'Age data'!$A$3:$AE$254,5,FALSE))</f>
        <v>0.28722538649308382</v>
      </c>
      <c r="AD93" s="20">
        <f>IF(OR(ISERROR(VLOOKUP($Y$58&amp;$Z93&amp;$AB93,'Age data'!$A$3:$AE$254,6,FALSE)),ISBLANK(VLOOKUP($Y$58&amp;$Z93&amp;$AB93,'Age data'!$A$3:$AE$254,6,FALSE))),"",VLOOKUP($Y$58&amp;$Z93&amp;$AB93,'Age data'!$A$3:$AE$254,6,FALSE))</f>
        <v>3.4174125305126118E-2</v>
      </c>
      <c r="AE93" s="20">
        <f>IF(OR(ISERROR(VLOOKUP($Y$58&amp;$Z93&amp;$AB93,'Age data'!$A$3:$AE$254,7,FALSE)),ISBLANK(VLOOKUP($Y$58&amp;$Z93&amp;$AB93,'Age data'!$A$3:$AE$254,7,FALSE))),"",VLOOKUP($Y$58&amp;$Z93&amp;$AB93,'Age data'!$A$3:$AE$254,7,FALSE))</f>
        <v>6.9975589910496336E-2</v>
      </c>
      <c r="AF93" s="20">
        <f>IF(OR(ISERROR(VLOOKUP($Y$58&amp;$Z93&amp;$AB93,'Age data'!$A$3:$AE$254,8,FALSE)),ISBLANK(VLOOKUP($Y$58&amp;$Z93&amp;$AB93,'Age data'!$A$3:$AE$254,8,FALSE))),"",VLOOKUP($Y$58&amp;$Z93&amp;$AB93,'Age data'!$A$3:$AE$254,8,FALSE))</f>
        <v>7.7298616761594788E-2</v>
      </c>
      <c r="AG93" s="20">
        <f>IF(OR(ISERROR(VLOOKUP($Y$58&amp;$Z93&amp;$AB93,'Age data'!$A$3:$AE$254,9,FALSE)),ISBLANK(VLOOKUP($Y$58&amp;$Z93&amp;$AB93,'Age data'!$A$3:$AE$254,9,FALSE))),"",VLOOKUP($Y$58&amp;$Z93&amp;$AB93,'Age data'!$A$3:$AE$254,9,FALSE))</f>
        <v>0.17249796582587471</v>
      </c>
      <c r="AH93" s="20">
        <f>IF(OR(ISERROR(VLOOKUP($Y$58&amp;$Z93&amp;$AB93,'Age data'!$A$3:$AE$254,10,FALSE)),ISBLANK(VLOOKUP($Y$58&amp;$Z93&amp;$AB93,'Age data'!$A$3:$AE$254,10,FALSE))),"",VLOOKUP($Y$58&amp;$Z93&amp;$AB93,'Age data'!$A$3:$AE$254,10,FALSE))</f>
        <v>4.0683482506102521E-2</v>
      </c>
      <c r="AI93" s="20">
        <f>IF(OR(ISERROR(VLOOKUP($Y$58&amp;$Z93&amp;$AB93,'Age data'!$A$3:$AE$254,11,FALSE)),ISBLANK(VLOOKUP($Y$58&amp;$Z93&amp;$AB93,'Age data'!$A$3:$AE$254,11,FALSE))),"",VLOOKUP($Y$58&amp;$Z93&amp;$AB93,'Age data'!$A$3:$AE$254,11,FALSE))</f>
        <v>0.15134255492270138</v>
      </c>
      <c r="AJ93" s="20">
        <f>IF(OR(ISERROR(VLOOKUP($Y$58&amp;$Z93&amp;$AB93,'Age data'!$A$3:$AE$254,12,FALSE)),ISBLANK(VLOOKUP($Y$58&amp;$Z93&amp;$AB93,'Age data'!$A$3:$AE$254,12,FALSE))),"",VLOOKUP($Y$58&amp;$Z93&amp;$AB93,'Age data'!$A$3:$AE$254,12,FALSE))</f>
        <v>0.16680227827502034</v>
      </c>
    </row>
    <row r="94" spans="25:36" x14ac:dyDescent="0.25">
      <c r="Y94" s="25"/>
      <c r="Z94" s="25" t="s">
        <v>4</v>
      </c>
      <c r="AA94" s="63"/>
      <c r="AB94" s="25" t="s">
        <v>8</v>
      </c>
      <c r="AC94" s="20">
        <f>IF(OR(ISERROR(VLOOKUP($Y$58&amp;$Z94&amp;$AB94,'Age data'!$A$3:$AE$254,5,FALSE)),ISBLANK(VLOOKUP($Y$58&amp;$Z94&amp;$AB94,'Age data'!$A$3:$AE$254,5,FALSE))),"",VLOOKUP($Y$58&amp;$Z94&amp;$AB94,'Age data'!$A$3:$AE$254,5,FALSE))</f>
        <v>0.24276169265033407</v>
      </c>
      <c r="AD94" s="20">
        <f>IF(OR(ISERROR(VLOOKUP($Y$58&amp;$Z94&amp;$AB94,'Age data'!$A$3:$AE$254,6,FALSE)),ISBLANK(VLOOKUP($Y$58&amp;$Z94&amp;$AB94,'Age data'!$A$3:$AE$254,6,FALSE))),"",VLOOKUP($Y$58&amp;$Z94&amp;$AB94,'Age data'!$A$3:$AE$254,6,FALSE))</f>
        <v>2.7468448403860431E-2</v>
      </c>
      <c r="AE94" s="20">
        <f>IF(OR(ISERROR(VLOOKUP($Y$58&amp;$Z94&amp;$AB94,'Age data'!$A$3:$AE$254,7,FALSE)),ISBLANK(VLOOKUP($Y$58&amp;$Z94&amp;$AB94,'Age data'!$A$3:$AE$254,7,FALSE))),"",VLOOKUP($Y$58&amp;$Z94&amp;$AB94,'Age data'!$A$3:$AE$254,7,FALSE))</f>
        <v>4.4543429844097995E-2</v>
      </c>
      <c r="AF94" s="20">
        <f>IF(OR(ISERROR(VLOOKUP($Y$58&amp;$Z94&amp;$AB94,'Age data'!$A$3:$AE$254,8,FALSE)),ISBLANK(VLOOKUP($Y$58&amp;$Z94&amp;$AB94,'Age data'!$A$3:$AE$254,8,FALSE))),"",VLOOKUP($Y$58&amp;$Z94&amp;$AB94,'Age data'!$A$3:$AE$254,8,FALSE))</f>
        <v>7.9435783221974754E-2</v>
      </c>
      <c r="AG94" s="20">
        <f>IF(OR(ISERROR(VLOOKUP($Y$58&amp;$Z94&amp;$AB94,'Age data'!$A$3:$AE$254,9,FALSE)),ISBLANK(VLOOKUP($Y$58&amp;$Z94&amp;$AB94,'Age data'!$A$3:$AE$254,9,FALSE))),"",VLOOKUP($Y$58&amp;$Z94&amp;$AB94,'Age data'!$A$3:$AE$254,9,FALSE))</f>
        <v>0.25612472160356348</v>
      </c>
      <c r="AH94" s="20">
        <f>IF(OR(ISERROR(VLOOKUP($Y$58&amp;$Z94&amp;$AB94,'Age data'!$A$3:$AE$254,10,FALSE)),ISBLANK(VLOOKUP($Y$58&amp;$Z94&amp;$AB94,'Age data'!$A$3:$AE$254,10,FALSE))),"",VLOOKUP($Y$58&amp;$Z94&amp;$AB94,'Age data'!$A$3:$AE$254,10,FALSE))</f>
        <v>3.4892353377876766E-2</v>
      </c>
      <c r="AI94" s="20">
        <f>IF(OR(ISERROR(VLOOKUP($Y$58&amp;$Z94&amp;$AB94,'Age data'!$A$3:$AE$254,11,FALSE)),ISBLANK(VLOOKUP($Y$58&amp;$Z94&amp;$AB94,'Age data'!$A$3:$AE$254,11,FALSE))),"",VLOOKUP($Y$58&amp;$Z94&amp;$AB94,'Age data'!$A$3:$AE$254,11,FALSE))</f>
        <v>0.13066072754268745</v>
      </c>
      <c r="AJ94" s="20">
        <f>IF(OR(ISERROR(VLOOKUP($Y$58&amp;$Z94&amp;$AB94,'Age data'!$A$3:$AE$254,12,FALSE)),ISBLANK(VLOOKUP($Y$58&amp;$Z94&amp;$AB94,'Age data'!$A$3:$AE$254,12,FALSE))),"",VLOOKUP($Y$58&amp;$Z94&amp;$AB94,'Age data'!$A$3:$AE$254,12,FALSE))</f>
        <v>0.18411284335560504</v>
      </c>
    </row>
    <row r="95" spans="25:36" x14ac:dyDescent="0.25">
      <c r="Y95" s="25"/>
      <c r="Z95" s="25" t="s">
        <v>4</v>
      </c>
      <c r="AA95" s="33"/>
      <c r="AB95" s="25" t="s">
        <v>9</v>
      </c>
      <c r="AC95" s="20">
        <f>IF(OR(ISERROR(VLOOKUP($Y$58&amp;$Z95&amp;$AB95,'Age data'!$A$3:$AE$254,5,FALSE)),ISBLANK(VLOOKUP($Y$58&amp;$Z95&amp;$AB95,'Age data'!$A$3:$AE$254,5,FALSE))),"",VLOOKUP($Y$58&amp;$Z95&amp;$AB95,'Age data'!$A$3:$AE$254,5,FALSE))</f>
        <v>0.25054784514243972</v>
      </c>
      <c r="AD95" s="20">
        <f>IF(OR(ISERROR(VLOOKUP($Y$58&amp;$Z95&amp;$AB95,'Age data'!$A$3:$AE$254,6,FALSE)),ISBLANK(VLOOKUP($Y$58&amp;$Z95&amp;$AB95,'Age data'!$A$3:$AE$254,6,FALSE))),"",VLOOKUP($Y$58&amp;$Z95&amp;$AB95,'Age data'!$A$3:$AE$254,6,FALSE))</f>
        <v>1.9722425127830533E-2</v>
      </c>
      <c r="AE95" s="20">
        <f>IF(OR(ISERROR(VLOOKUP($Y$58&amp;$Z95&amp;$AB95,'Age data'!$A$3:$AE$254,7,FALSE)),ISBLANK(VLOOKUP($Y$58&amp;$Z95&amp;$AB95,'Age data'!$A$3:$AE$254,7,FALSE))),"",VLOOKUP($Y$58&amp;$Z95&amp;$AB95,'Age data'!$A$3:$AE$254,7,FALSE))</f>
        <v>4.3097151205259317E-2</v>
      </c>
      <c r="AF95" s="20">
        <f>IF(OR(ISERROR(VLOOKUP($Y$58&amp;$Z95&amp;$AB95,'Age data'!$A$3:$AE$254,8,FALSE)),ISBLANK(VLOOKUP($Y$58&amp;$Z95&amp;$AB95,'Age data'!$A$3:$AE$254,8,FALSE))),"",VLOOKUP($Y$58&amp;$Z95&amp;$AB95,'Age data'!$A$3:$AE$254,8,FALSE))</f>
        <v>5.7706355003652302E-2</v>
      </c>
      <c r="AG95" s="20">
        <f>IF(OR(ISERROR(VLOOKUP($Y$58&amp;$Z95&amp;$AB95,'Age data'!$A$3:$AE$254,9,FALSE)),ISBLANK(VLOOKUP($Y$58&amp;$Z95&amp;$AB95,'Age data'!$A$3:$AE$254,9,FALSE))),"",VLOOKUP($Y$58&amp;$Z95&amp;$AB95,'Age data'!$A$3:$AE$254,9,FALSE))</f>
        <v>0.34477720964207453</v>
      </c>
      <c r="AH95" s="20">
        <f>IF(OR(ISERROR(VLOOKUP($Y$58&amp;$Z95&amp;$AB95,'Age data'!$A$3:$AE$254,10,FALSE)),ISBLANK(VLOOKUP($Y$58&amp;$Z95&amp;$AB95,'Age data'!$A$3:$AE$254,10,FALSE))),"",VLOOKUP($Y$58&amp;$Z95&amp;$AB95,'Age data'!$A$3:$AE$254,10,FALSE))</f>
        <v>2.483564645726808E-2</v>
      </c>
      <c r="AI95" s="20">
        <f>IF(OR(ISERROR(VLOOKUP($Y$58&amp;$Z95&amp;$AB95,'Age data'!$A$3:$AE$254,11,FALSE)),ISBLANK(VLOOKUP($Y$58&amp;$Z95&amp;$AB95,'Age data'!$A$3:$AE$254,11,FALSE))),"",VLOOKUP($Y$58&amp;$Z95&amp;$AB95,'Age data'!$A$3:$AE$254,11,FALSE))</f>
        <v>0.10226442658875091</v>
      </c>
      <c r="AJ95" s="20">
        <f>IF(OR(ISERROR(VLOOKUP($Y$58&amp;$Z95&amp;$AB95,'Age data'!$A$3:$AE$254,12,FALSE)),ISBLANK(VLOOKUP($Y$58&amp;$Z95&amp;$AB95,'Age data'!$A$3:$AE$254,12,FALSE))),"",VLOOKUP($Y$58&amp;$Z95&amp;$AB95,'Age data'!$A$3:$AE$254,12,FALSE))</f>
        <v>0.15704894083272461</v>
      </c>
    </row>
    <row r="96" spans="25:36" x14ac:dyDescent="0.25">
      <c r="Y96" s="25"/>
      <c r="Z96" s="25" t="s">
        <v>4</v>
      </c>
      <c r="AA96" s="33"/>
      <c r="AB96" s="25" t="s">
        <v>10</v>
      </c>
      <c r="AC96" s="20">
        <f>IF(OR(ISERROR(VLOOKUP($Y$58&amp;$Z96&amp;$AB96,'Age data'!$A$3:$AE$254,5,FALSE)),ISBLANK(VLOOKUP($Y$58&amp;$Z96&amp;$AB96,'Age data'!$A$3:$AE$254,5,FALSE))),"",VLOOKUP($Y$58&amp;$Z96&amp;$AB96,'Age data'!$A$3:$AE$254,5,FALSE))</f>
        <v>0.29339477726574503</v>
      </c>
      <c r="AD96" s="20">
        <f>IF(OR(ISERROR(VLOOKUP($Y$58&amp;$Z96&amp;$AB96,'Age data'!$A$3:$AE$254,6,FALSE)),ISBLANK(VLOOKUP($Y$58&amp;$Z96&amp;$AB96,'Age data'!$A$3:$AE$254,6,FALSE))),"",VLOOKUP($Y$58&amp;$Z96&amp;$AB96,'Age data'!$A$3:$AE$254,6,FALSE))</f>
        <v>1.3824884792626729E-2</v>
      </c>
      <c r="AE96" s="20">
        <f>IF(OR(ISERROR(VLOOKUP($Y$58&amp;$Z96&amp;$AB96,'Age data'!$A$3:$AE$254,7,FALSE)),ISBLANK(VLOOKUP($Y$58&amp;$Z96&amp;$AB96,'Age data'!$A$3:$AE$254,7,FALSE))),"",VLOOKUP($Y$58&amp;$Z96&amp;$AB96,'Age data'!$A$3:$AE$254,7,FALSE))</f>
        <v>6.6052227342549924E-2</v>
      </c>
      <c r="AF96" s="20">
        <f>IF(OR(ISERROR(VLOOKUP($Y$58&amp;$Z96&amp;$AB96,'Age data'!$A$3:$AE$254,8,FALSE)),ISBLANK(VLOOKUP($Y$58&amp;$Z96&amp;$AB96,'Age data'!$A$3:$AE$254,8,FALSE))),"",VLOOKUP($Y$58&amp;$Z96&amp;$AB96,'Age data'!$A$3:$AE$254,8,FALSE))</f>
        <v>2.4577572964669739E-2</v>
      </c>
      <c r="AG96" s="20">
        <f>IF(OR(ISERROR(VLOOKUP($Y$58&amp;$Z96&amp;$AB96,'Age data'!$A$3:$AE$254,9,FALSE)),ISBLANK(VLOOKUP($Y$58&amp;$Z96&amp;$AB96,'Age data'!$A$3:$AE$254,9,FALSE))),"",VLOOKUP($Y$58&amp;$Z96&amp;$AB96,'Age data'!$A$3:$AE$254,9,FALSE))</f>
        <v>0.30568356374807987</v>
      </c>
      <c r="AH96" s="20">
        <f>IF(OR(ISERROR(VLOOKUP($Y$58&amp;$Z96&amp;$AB96,'Age data'!$A$3:$AE$254,10,FALSE)),ISBLANK(VLOOKUP($Y$58&amp;$Z96&amp;$AB96,'Age data'!$A$3:$AE$254,10,FALSE))),"",VLOOKUP($Y$58&amp;$Z96&amp;$AB96,'Age data'!$A$3:$AE$254,10,FALSE))</f>
        <v>1.5360983102918587E-2</v>
      </c>
      <c r="AI96" s="20">
        <f>IF(OR(ISERROR(VLOOKUP($Y$58&amp;$Z96&amp;$AB96,'Age data'!$A$3:$AE$254,11,FALSE)),ISBLANK(VLOOKUP($Y$58&amp;$Z96&amp;$AB96,'Age data'!$A$3:$AE$254,11,FALSE))),"",VLOOKUP($Y$58&amp;$Z96&amp;$AB96,'Age data'!$A$3:$AE$254,11,FALSE))</f>
        <v>0.2119815668202765</v>
      </c>
      <c r="AJ96" s="20">
        <f>IF(OR(ISERROR(VLOOKUP($Y$58&amp;$Z96&amp;$AB96,'Age data'!$A$3:$AE$254,12,FALSE)),ISBLANK(VLOOKUP($Y$58&amp;$Z96&amp;$AB96,'Age data'!$A$3:$AE$254,12,FALSE))),"",VLOOKUP($Y$58&amp;$Z96&amp;$AB96,'Age data'!$A$3:$AE$254,12,FALSE))</f>
        <v>6.9124423963133647E-2</v>
      </c>
    </row>
    <row r="97" spans="25:36" x14ac:dyDescent="0.25">
      <c r="Y97" s="25"/>
      <c r="Z97" s="25" t="s">
        <v>4</v>
      </c>
      <c r="AA97" s="33"/>
      <c r="AB97" s="25" t="s">
        <v>11</v>
      </c>
      <c r="AC97" s="20">
        <f>IF(OR(ISERROR(VLOOKUP($Y$58&amp;$Z97&amp;$AB97,'Age data'!$A$3:$AE$254,5,FALSE)),ISBLANK(VLOOKUP($Y$58&amp;$Z97&amp;$AB97,'Age data'!$A$3:$AE$254,5,FALSE))),"",VLOOKUP($Y$58&amp;$Z97&amp;$AB97,'Age data'!$A$3:$AE$254,5,FALSE))</f>
        <v>0.2608695652173913</v>
      </c>
      <c r="AD97" s="20">
        <f>IF(OR(ISERROR(VLOOKUP($Y$58&amp;$Z97&amp;$AB97,'Age data'!$A$3:$AE$254,6,FALSE)),ISBLANK(VLOOKUP($Y$58&amp;$Z97&amp;$AB97,'Age data'!$A$3:$AE$254,6,FALSE))),"",VLOOKUP($Y$58&amp;$Z97&amp;$AB97,'Age data'!$A$3:$AE$254,6,FALSE))</f>
        <v>6.2111801242236021E-3</v>
      </c>
      <c r="AE97" s="20">
        <f>IF(OR(ISERROR(VLOOKUP($Y$58&amp;$Z97&amp;$AB97,'Age data'!$A$3:$AE$254,7,FALSE)),ISBLANK(VLOOKUP($Y$58&amp;$Z97&amp;$AB97,'Age data'!$A$3:$AE$254,7,FALSE))),"",VLOOKUP($Y$58&amp;$Z97&amp;$AB97,'Age data'!$A$3:$AE$254,7,FALSE))</f>
        <v>4.9689440993788817E-2</v>
      </c>
      <c r="AF97" s="20">
        <f>IF(OR(ISERROR(VLOOKUP($Y$58&amp;$Z97&amp;$AB97,'Age data'!$A$3:$AE$254,8,FALSE)),ISBLANK(VLOOKUP($Y$58&amp;$Z97&amp;$AB97,'Age data'!$A$3:$AE$254,8,FALSE))),"",VLOOKUP($Y$58&amp;$Z97&amp;$AB97,'Age data'!$A$3:$AE$254,8,FALSE))</f>
        <v>0</v>
      </c>
      <c r="AG97" s="20">
        <f>IF(OR(ISERROR(VLOOKUP($Y$58&amp;$Z97&amp;$AB97,'Age data'!$A$3:$AE$254,9,FALSE)),ISBLANK(VLOOKUP($Y$58&amp;$Z97&amp;$AB97,'Age data'!$A$3:$AE$254,9,FALSE))),"",VLOOKUP($Y$58&amp;$Z97&amp;$AB97,'Age data'!$A$3:$AE$254,9,FALSE))</f>
        <v>0.17391304347826086</v>
      </c>
      <c r="AH97" s="20">
        <f>IF(OR(ISERROR(VLOOKUP($Y$58&amp;$Z97&amp;$AB97,'Age data'!$A$3:$AE$254,10,FALSE)),ISBLANK(VLOOKUP($Y$58&amp;$Z97&amp;$AB97,'Age data'!$A$3:$AE$254,10,FALSE))),"",VLOOKUP($Y$58&amp;$Z97&amp;$AB97,'Age data'!$A$3:$AE$254,10,FALSE))</f>
        <v>0</v>
      </c>
      <c r="AI97" s="20">
        <f>IF(OR(ISERROR(VLOOKUP($Y$58&amp;$Z97&amp;$AB97,'Age data'!$A$3:$AE$254,11,FALSE)),ISBLANK(VLOOKUP($Y$58&amp;$Z97&amp;$AB97,'Age data'!$A$3:$AE$254,11,FALSE))),"",VLOOKUP($Y$58&amp;$Z97&amp;$AB97,'Age data'!$A$3:$AE$254,11,FALSE))</f>
        <v>0.49689440993788819</v>
      </c>
      <c r="AJ97" s="20">
        <f>IF(OR(ISERROR(VLOOKUP($Y$58&amp;$Z97&amp;$AB97,'Age data'!$A$3:$AE$254,12,FALSE)),ISBLANK(VLOOKUP($Y$58&amp;$Z97&amp;$AB97,'Age data'!$A$3:$AE$254,12,FALSE))),"",VLOOKUP($Y$58&amp;$Z97&amp;$AB97,'Age data'!$A$3:$AE$254,12,FALSE))</f>
        <v>1.2422360248447204E-2</v>
      </c>
    </row>
    <row r="98" spans="25:36" x14ac:dyDescent="0.25">
      <c r="Y98" s="25"/>
      <c r="Z98" s="25" t="s">
        <v>4</v>
      </c>
      <c r="AA98" s="33"/>
      <c r="AB98" s="25" t="s">
        <v>12</v>
      </c>
      <c r="AC98" s="20">
        <f>IF(OR(ISERROR(VLOOKUP($Y$58&amp;$Z98&amp;$AB98,'Age data'!$A$3:$AE$254,5,FALSE)),ISBLANK(VLOOKUP($Y$58&amp;$Z98&amp;$AB98,'Age data'!$A$3:$AE$254,5,FALSE))),"",VLOOKUP($Y$58&amp;$Z98&amp;$AB98,'Age data'!$A$3:$AE$254,5,FALSE))</f>
        <v>0.10460251046025104</v>
      </c>
      <c r="AD98" s="20">
        <f>IF(OR(ISERROR(VLOOKUP($Y$58&amp;$Z98&amp;$AB98,'Age data'!$A$3:$AE$254,6,FALSE)),ISBLANK(VLOOKUP($Y$58&amp;$Z98&amp;$AB98,'Age data'!$A$3:$AE$254,6,FALSE))),"",VLOOKUP($Y$58&amp;$Z98&amp;$AB98,'Age data'!$A$3:$AE$254,6,FALSE))</f>
        <v>8.368200836820083E-3</v>
      </c>
      <c r="AE98" s="20">
        <f>IF(OR(ISERROR(VLOOKUP($Y$58&amp;$Z98&amp;$AB98,'Age data'!$A$3:$AE$254,7,FALSE)),ISBLANK(VLOOKUP($Y$58&amp;$Z98&amp;$AB98,'Age data'!$A$3:$AE$254,7,FALSE))),"",VLOOKUP($Y$58&amp;$Z98&amp;$AB98,'Age data'!$A$3:$AE$254,7,FALSE))</f>
        <v>2.5104602510460251E-2</v>
      </c>
      <c r="AF98" s="20">
        <f>IF(OR(ISERROR(VLOOKUP($Y$58&amp;$Z98&amp;$AB98,'Age data'!$A$3:$AE$254,8,FALSE)),ISBLANK(VLOOKUP($Y$58&amp;$Z98&amp;$AB98,'Age data'!$A$3:$AE$254,8,FALSE))),"",VLOOKUP($Y$58&amp;$Z98&amp;$AB98,'Age data'!$A$3:$AE$254,8,FALSE))</f>
        <v>0</v>
      </c>
      <c r="AG98" s="20">
        <f>IF(OR(ISERROR(VLOOKUP($Y$58&amp;$Z98&amp;$AB98,'Age data'!$A$3:$AE$254,9,FALSE)),ISBLANK(VLOOKUP($Y$58&amp;$Z98&amp;$AB98,'Age data'!$A$3:$AE$254,9,FALSE))),"",VLOOKUP($Y$58&amp;$Z98&amp;$AB98,'Age data'!$A$3:$AE$254,9,FALSE))</f>
        <v>3.3472803347280332E-2</v>
      </c>
      <c r="AH98" s="20">
        <f>IF(OR(ISERROR(VLOOKUP($Y$58&amp;$Z98&amp;$AB98,'Age data'!$A$3:$AE$254,10,FALSE)),ISBLANK(VLOOKUP($Y$58&amp;$Z98&amp;$AB98,'Age data'!$A$3:$AE$254,10,FALSE))),"",VLOOKUP($Y$58&amp;$Z98&amp;$AB98,'Age data'!$A$3:$AE$254,10,FALSE))</f>
        <v>0</v>
      </c>
      <c r="AI98" s="20">
        <f>IF(OR(ISERROR(VLOOKUP($Y$58&amp;$Z98&amp;$AB98,'Age data'!$A$3:$AE$254,11,FALSE)),ISBLANK(VLOOKUP($Y$58&amp;$Z98&amp;$AB98,'Age data'!$A$3:$AE$254,11,FALSE))),"",VLOOKUP($Y$58&amp;$Z98&amp;$AB98,'Age data'!$A$3:$AE$254,11,FALSE))</f>
        <v>0.82845188284518834</v>
      </c>
      <c r="AJ98" s="20">
        <f>IF(OR(ISERROR(VLOOKUP($Y$58&amp;$Z98&amp;$AB98,'Age data'!$A$3:$AE$254,12,FALSE)),ISBLANK(VLOOKUP($Y$58&amp;$Z98&amp;$AB98,'Age data'!$A$3:$AE$254,12,FALSE))),"",VLOOKUP($Y$58&amp;$Z98&amp;$AB98,'Age data'!$A$3:$AE$254,12,FALSE))</f>
        <v>0</v>
      </c>
    </row>
    <row r="99" spans="25:36" x14ac:dyDescent="0.25">
      <c r="Y99" s="25"/>
      <c r="Z99" s="25"/>
      <c r="AA99" s="33"/>
      <c r="AB99" s="25"/>
      <c r="AC99" s="20"/>
      <c r="AD99" s="20"/>
      <c r="AE99" s="20"/>
      <c r="AF99" s="20"/>
      <c r="AG99" s="20"/>
      <c r="AH99" s="20"/>
      <c r="AI99" s="20"/>
      <c r="AJ99" s="20"/>
    </row>
    <row r="100" spans="25:36" x14ac:dyDescent="0.25">
      <c r="Y100" s="25"/>
      <c r="Z100" s="25" t="s">
        <v>34</v>
      </c>
      <c r="AA100" s="25" t="s">
        <v>34</v>
      </c>
      <c r="AB100" s="25" t="s">
        <v>7</v>
      </c>
      <c r="AC100" s="20">
        <f>IF(OR(ISERROR(VLOOKUP($Y$58&amp;$Z100&amp;$AB100,'Age data'!$A$3:$AE$254,5,FALSE)),ISBLANK(VLOOKUP($Y$58&amp;$Z100&amp;$AB100,'Age data'!$A$3:$AE$254,5,FALSE))),"",VLOOKUP($Y$58&amp;$Z100&amp;$AB100,'Age data'!$A$3:$AE$254,5,FALSE))</f>
        <v>0.10974953902888752</v>
      </c>
      <c r="AD100" s="20">
        <f>IF(OR(ISERROR(VLOOKUP($Y$58&amp;$Z100&amp;$AB100,'Age data'!$A$3:$AE$254,6,FALSE)),ISBLANK(VLOOKUP($Y$58&amp;$Z100&amp;$AB100,'Age data'!$A$3:$AE$254,6,FALSE))),"",VLOOKUP($Y$58&amp;$Z100&amp;$AB100,'Age data'!$A$3:$AE$254,6,FALSE))</f>
        <v>2.1204671173939767E-2</v>
      </c>
      <c r="AE100" s="20">
        <f>IF(OR(ISERROR(VLOOKUP($Y$58&amp;$Z100&amp;$AB100,'Age data'!$A$3:$AE$254,7,FALSE)),ISBLANK(VLOOKUP($Y$58&amp;$Z100&amp;$AB100,'Age data'!$A$3:$AE$254,7,FALSE))),"",VLOOKUP($Y$58&amp;$Z100&amp;$AB100,'Age data'!$A$3:$AE$254,7,FALSE))</f>
        <v>1.4213275968039335E-2</v>
      </c>
      <c r="AF100" s="20">
        <f>IF(OR(ISERROR(VLOOKUP($Y$58&amp;$Z100&amp;$AB100,'Age data'!$A$3:$AE$254,8,FALSE)),ISBLANK(VLOOKUP($Y$58&amp;$Z100&amp;$AB100,'Age data'!$A$3:$AE$254,8,FALSE))),"",VLOOKUP($Y$58&amp;$Z100&amp;$AB100,'Age data'!$A$3:$AE$254,8,FALSE))</f>
        <v>0.11620313460356484</v>
      </c>
      <c r="AG100" s="20">
        <f>IF(OR(ISERROR(VLOOKUP($Y$58&amp;$Z100&amp;$AB100,'Age data'!$A$3:$AE$254,9,FALSE)),ISBLANK(VLOOKUP($Y$58&amp;$Z100&amp;$AB100,'Age data'!$A$3:$AE$254,9,FALSE))),"",VLOOKUP($Y$58&amp;$Z100&amp;$AB100,'Age data'!$A$3:$AE$254,9,FALSE))</f>
        <v>0.18073909035033806</v>
      </c>
      <c r="AH100" s="20">
        <f>IF(OR(ISERROR(VLOOKUP($Y$58&amp;$Z100&amp;$AB100,'Age data'!$A$3:$AE$254,10,FALSE)),ISBLANK(VLOOKUP($Y$58&amp;$Z100&amp;$AB100,'Age data'!$A$3:$AE$254,10,FALSE))),"",VLOOKUP($Y$58&amp;$Z100&amp;$AB100,'Age data'!$A$3:$AE$254,10,FALSE))</f>
        <v>2.1704056545789798E-2</v>
      </c>
      <c r="AI100" s="20">
        <f>IF(OR(ISERROR(VLOOKUP($Y$58&amp;$Z100&amp;$AB100,'Age data'!$A$3:$AE$254,11,FALSE)),ISBLANK(VLOOKUP($Y$58&amp;$Z100&amp;$AB100,'Age data'!$A$3:$AE$254,11,FALSE))),"",VLOOKUP($Y$58&amp;$Z100&amp;$AB100,'Age data'!$A$3:$AE$254,11,FALSE))</f>
        <v>3.5494775660725258E-2</v>
      </c>
      <c r="AJ100" s="20">
        <f>IF(OR(ISERROR(VLOOKUP($Y$58&amp;$Z100&amp;$AB100,'Age data'!$A$3:$AE$254,12,FALSE)),ISBLANK(VLOOKUP($Y$58&amp;$Z100&amp;$AB100,'Age data'!$A$3:$AE$254,12,FALSE))),"",VLOOKUP($Y$58&amp;$Z100&amp;$AB100,'Age data'!$A$3:$AE$254,12,FALSE))</f>
        <v>0.5006914566687154</v>
      </c>
    </row>
    <row r="101" spans="25:36" x14ac:dyDescent="0.25">
      <c r="Y101" s="25"/>
      <c r="Z101" s="25" t="s">
        <v>34</v>
      </c>
      <c r="AA101" s="33"/>
      <c r="AB101" s="25" t="s">
        <v>8</v>
      </c>
      <c r="AC101" s="20">
        <f>IF(OR(ISERROR(VLOOKUP($Y$58&amp;$Z101&amp;$AB101,'Age data'!$A$3:$AE$254,5,FALSE)),ISBLANK(VLOOKUP($Y$58&amp;$Z101&amp;$AB101,'Age data'!$A$3:$AE$254,5,FALSE))),"",VLOOKUP($Y$58&amp;$Z101&amp;$AB101,'Age data'!$A$3:$AE$254,5,FALSE))</f>
        <v>0.12676438653637351</v>
      </c>
      <c r="AD101" s="20">
        <f>IF(OR(ISERROR(VLOOKUP($Y$58&amp;$Z101&amp;$AB101,'Age data'!$A$3:$AE$254,6,FALSE)),ISBLANK(VLOOKUP($Y$58&amp;$Z101&amp;$AB101,'Age data'!$A$3:$AE$254,6,FALSE))),"",VLOOKUP($Y$58&amp;$Z101&amp;$AB101,'Age data'!$A$3:$AE$254,6,FALSE))</f>
        <v>1.6897394136807818E-2</v>
      </c>
      <c r="AE101" s="20">
        <f>IF(OR(ISERROR(VLOOKUP($Y$58&amp;$Z101&amp;$AB101,'Age data'!$A$3:$AE$254,7,FALSE)),ISBLANK(VLOOKUP($Y$58&amp;$Z101&amp;$AB101,'Age data'!$A$3:$AE$254,7,FALSE))),"",VLOOKUP($Y$58&amp;$Z101&amp;$AB101,'Age data'!$A$3:$AE$254,7,FALSE))</f>
        <v>1.4793702497285559E-2</v>
      </c>
      <c r="AF101" s="20">
        <f>IF(OR(ISERROR(VLOOKUP($Y$58&amp;$Z101&amp;$AB101,'Age data'!$A$3:$AE$254,8,FALSE)),ISBLANK(VLOOKUP($Y$58&amp;$Z101&amp;$AB101,'Age data'!$A$3:$AE$254,8,FALSE))),"",VLOOKUP($Y$58&amp;$Z101&amp;$AB101,'Age data'!$A$3:$AE$254,8,FALSE))</f>
        <v>7.4511400651465803E-2</v>
      </c>
      <c r="AG101" s="20">
        <f>IF(OR(ISERROR(VLOOKUP($Y$58&amp;$Z101&amp;$AB101,'Age data'!$A$3:$AE$254,9,FALSE)),ISBLANK(VLOOKUP($Y$58&amp;$Z101&amp;$AB101,'Age data'!$A$3:$AE$254,9,FALSE))),"",VLOOKUP($Y$58&amp;$Z101&amp;$AB101,'Age data'!$A$3:$AE$254,9,FALSE))</f>
        <v>0.36163137893593922</v>
      </c>
      <c r="AH101" s="20">
        <f>IF(OR(ISERROR(VLOOKUP($Y$58&amp;$Z101&amp;$AB101,'Age data'!$A$3:$AE$254,10,FALSE)),ISBLANK(VLOOKUP($Y$58&amp;$Z101&amp;$AB101,'Age data'!$A$3:$AE$254,10,FALSE))),"",VLOOKUP($Y$58&amp;$Z101&amp;$AB101,'Age data'!$A$3:$AE$254,10,FALSE))</f>
        <v>1.6015200868621064E-2</v>
      </c>
      <c r="AI101" s="20">
        <f>IF(OR(ISERROR(VLOOKUP($Y$58&amp;$Z101&amp;$AB101,'Age data'!$A$3:$AE$254,11,FALSE)),ISBLANK(VLOOKUP($Y$58&amp;$Z101&amp;$AB101,'Age data'!$A$3:$AE$254,11,FALSE))),"",VLOOKUP($Y$58&amp;$Z101&amp;$AB101,'Age data'!$A$3:$AE$254,11,FALSE))</f>
        <v>3.6882464712269275E-2</v>
      </c>
      <c r="AJ101" s="20">
        <f>IF(OR(ISERROR(VLOOKUP($Y$58&amp;$Z101&amp;$AB101,'Age data'!$A$3:$AE$254,12,FALSE)),ISBLANK(VLOOKUP($Y$58&amp;$Z101&amp;$AB101,'Age data'!$A$3:$AE$254,12,FALSE))),"",VLOOKUP($Y$58&amp;$Z101&amp;$AB101,'Age data'!$A$3:$AE$254,12,FALSE))</f>
        <v>0.35250407166123776</v>
      </c>
    </row>
    <row r="102" spans="25:36" x14ac:dyDescent="0.25">
      <c r="Y102" s="25"/>
      <c r="Z102" s="25" t="s">
        <v>34</v>
      </c>
      <c r="AA102" s="33"/>
      <c r="AB102" s="25" t="s">
        <v>9</v>
      </c>
      <c r="AC102" s="20">
        <f>IF(OR(ISERROR(VLOOKUP($Y$58&amp;$Z102&amp;$AB102,'Age data'!$A$3:$AE$254,5,FALSE)),ISBLANK(VLOOKUP($Y$58&amp;$Z102&amp;$AB102,'Age data'!$A$3:$AE$254,5,FALSE))),"",VLOOKUP($Y$58&amp;$Z102&amp;$AB102,'Age data'!$A$3:$AE$254,5,FALSE))</f>
        <v>0.15062174087444846</v>
      </c>
      <c r="AD102" s="20">
        <f>IF(OR(ISERROR(VLOOKUP($Y$58&amp;$Z102&amp;$AB102,'Age data'!$A$3:$AE$254,6,FALSE)),ISBLANK(VLOOKUP($Y$58&amp;$Z102&amp;$AB102,'Age data'!$A$3:$AE$254,6,FALSE))),"",VLOOKUP($Y$58&amp;$Z102&amp;$AB102,'Age data'!$A$3:$AE$254,6,FALSE))</f>
        <v>1.532863446220847E-2</v>
      </c>
      <c r="AE102" s="20">
        <f>IF(OR(ISERROR(VLOOKUP($Y$58&amp;$Z102&amp;$AB102,'Age data'!$A$3:$AE$254,7,FALSE)),ISBLANK(VLOOKUP($Y$58&amp;$Z102&amp;$AB102,'Age data'!$A$3:$AE$254,7,FALSE))),"",VLOOKUP($Y$58&amp;$Z102&amp;$AB102,'Age data'!$A$3:$AE$254,7,FALSE))</f>
        <v>1.4411781559796E-2</v>
      </c>
      <c r="AF102" s="20">
        <f>IF(OR(ISERROR(VLOOKUP($Y$58&amp;$Z102&amp;$AB102,'Age data'!$A$3:$AE$254,8,FALSE)),ISBLANK(VLOOKUP($Y$58&amp;$Z102&amp;$AB102,'Age data'!$A$3:$AE$254,8,FALSE))),"",VLOOKUP($Y$58&amp;$Z102&amp;$AB102,'Age data'!$A$3:$AE$254,8,FALSE))</f>
        <v>5.4953870838347373E-2</v>
      </c>
      <c r="AG102" s="20">
        <f>IF(OR(ISERROR(VLOOKUP($Y$58&amp;$Z102&amp;$AB102,'Age data'!$A$3:$AE$254,9,FALSE)),ISBLANK(VLOOKUP($Y$58&amp;$Z102&amp;$AB102,'Age data'!$A$3:$AE$254,9,FALSE))),"",VLOOKUP($Y$58&amp;$Z102&amp;$AB102,'Age data'!$A$3:$AE$254,9,FALSE))</f>
        <v>0.4725517162340267</v>
      </c>
      <c r="AH102" s="20">
        <f>IF(OR(ISERROR(VLOOKUP($Y$58&amp;$Z102&amp;$AB102,'Age data'!$A$3:$AE$254,10,FALSE)),ISBLANK(VLOOKUP($Y$58&amp;$Z102&amp;$AB102,'Age data'!$A$3:$AE$254,10,FALSE))),"",VLOOKUP($Y$58&amp;$Z102&amp;$AB102,'Age data'!$A$3:$AE$254,10,FALSE))</f>
        <v>1.1833132771760931E-2</v>
      </c>
      <c r="AI102" s="20">
        <f>IF(OR(ISERROR(VLOOKUP($Y$58&amp;$Z102&amp;$AB102,'Age data'!$A$3:$AE$254,11,FALSE)),ISBLANK(VLOOKUP($Y$58&amp;$Z102&amp;$AB102,'Age data'!$A$3:$AE$254,11,FALSE))),"",VLOOKUP($Y$58&amp;$Z102&amp;$AB102,'Age data'!$A$3:$AE$254,11,FALSE))</f>
        <v>4.4610624033006703E-2</v>
      </c>
      <c r="AJ102" s="20">
        <f>IF(OR(ISERROR(VLOOKUP($Y$58&amp;$Z102&amp;$AB102,'Age data'!$A$3:$AE$254,12,FALSE)),ISBLANK(VLOOKUP($Y$58&amp;$Z102&amp;$AB102,'Age data'!$A$3:$AE$254,12,FALSE))),"",VLOOKUP($Y$58&amp;$Z102&amp;$AB102,'Age data'!$A$3:$AE$254,12,FALSE))</f>
        <v>0.23568849922640536</v>
      </c>
    </row>
    <row r="103" spans="25:36" x14ac:dyDescent="0.25">
      <c r="Y103" s="25"/>
      <c r="Z103" s="25" t="s">
        <v>34</v>
      </c>
      <c r="AA103" s="63"/>
      <c r="AB103" s="25" t="s">
        <v>10</v>
      </c>
      <c r="AC103" s="20">
        <f>IF(OR(ISERROR(VLOOKUP($Y$58&amp;$Z103&amp;$AB103,'Age data'!$A$3:$AE$254,5,FALSE)),ISBLANK(VLOOKUP($Y$58&amp;$Z103&amp;$AB103,'Age data'!$A$3:$AE$254,5,FALSE))),"",VLOOKUP($Y$58&amp;$Z103&amp;$AB103,'Age data'!$A$3:$AE$254,5,FALSE))</f>
        <v>0.22130358002889711</v>
      </c>
      <c r="AD103" s="20">
        <f>IF(OR(ISERROR(VLOOKUP($Y$58&amp;$Z103&amp;$AB103,'Age data'!$A$3:$AE$254,6,FALSE)),ISBLANK(VLOOKUP($Y$58&amp;$Z103&amp;$AB103,'Age data'!$A$3:$AE$254,6,FALSE))),"",VLOOKUP($Y$58&amp;$Z103&amp;$AB103,'Age data'!$A$3:$AE$254,6,FALSE))</f>
        <v>1.9104190078664311E-2</v>
      </c>
      <c r="AE103" s="20">
        <f>IF(OR(ISERROR(VLOOKUP($Y$58&amp;$Z103&amp;$AB103,'Age data'!$A$3:$AE$254,7,FALSE)),ISBLANK(VLOOKUP($Y$58&amp;$Z103&amp;$AB103,'Age data'!$A$3:$AE$254,7,FALSE))),"",VLOOKUP($Y$58&amp;$Z103&amp;$AB103,'Age data'!$A$3:$AE$254,7,FALSE))</f>
        <v>2.4442125541820518E-2</v>
      </c>
      <c r="AF103" s="20">
        <f>IF(OR(ISERROR(VLOOKUP($Y$58&amp;$Z103&amp;$AB103,'Age data'!$A$3:$AE$254,8,FALSE)),ISBLANK(VLOOKUP($Y$58&amp;$Z103&amp;$AB103,'Age data'!$A$3:$AE$254,8,FALSE))),"",VLOOKUP($Y$58&amp;$Z103&amp;$AB103,'Age data'!$A$3:$AE$254,8,FALSE))</f>
        <v>3.3913950874939799E-2</v>
      </c>
      <c r="AG103" s="20">
        <f>IF(OR(ISERROR(VLOOKUP($Y$58&amp;$Z103&amp;$AB103,'Age data'!$A$3:$AE$254,9,FALSE)),ISBLANK(VLOOKUP($Y$58&amp;$Z103&amp;$AB103,'Age data'!$A$3:$AE$254,9,FALSE))),"",VLOOKUP($Y$58&amp;$Z103&amp;$AB103,'Age data'!$A$3:$AE$254,9,FALSE))</f>
        <v>0.44168405843634612</v>
      </c>
      <c r="AH103" s="20">
        <f>IF(OR(ISERROR(VLOOKUP($Y$58&amp;$Z103&amp;$AB103,'Age data'!$A$3:$AE$254,10,FALSE)),ISBLANK(VLOOKUP($Y$58&amp;$Z103&amp;$AB103,'Age data'!$A$3:$AE$254,10,FALSE))),"",VLOOKUP($Y$58&amp;$Z103&amp;$AB103,'Age data'!$A$3:$AE$254,10,FALSE))</f>
        <v>1.1237758869802536E-2</v>
      </c>
      <c r="AI103" s="20">
        <f>IF(OR(ISERROR(VLOOKUP($Y$58&amp;$Z103&amp;$AB103,'Age data'!$A$3:$AE$254,11,FALSE)),ISBLANK(VLOOKUP($Y$58&amp;$Z103&amp;$AB103,'Age data'!$A$3:$AE$254,11,FALSE))),"",VLOOKUP($Y$58&amp;$Z103&amp;$AB103,'Age data'!$A$3:$AE$254,11,FALSE))</f>
        <v>0.13433135334724675</v>
      </c>
      <c r="AJ103" s="20">
        <f>IF(OR(ISERROR(VLOOKUP($Y$58&amp;$Z103&amp;$AB103,'Age data'!$A$3:$AE$254,12,FALSE)),ISBLANK(VLOOKUP($Y$58&amp;$Z103&amp;$AB103,'Age data'!$A$3:$AE$254,12,FALSE))),"",VLOOKUP($Y$58&amp;$Z103&amp;$AB103,'Age data'!$A$3:$AE$254,12,FALSE))</f>
        <v>0.11398298282228288</v>
      </c>
    </row>
    <row r="104" spans="25:36" x14ac:dyDescent="0.25">
      <c r="Y104" s="25"/>
      <c r="Z104" s="25" t="s">
        <v>34</v>
      </c>
      <c r="AA104" s="33"/>
      <c r="AB104" s="25" t="s">
        <v>11</v>
      </c>
      <c r="AC104" s="20">
        <f>IF(OR(ISERROR(VLOOKUP($Y$58&amp;$Z104&amp;$AB104,'Age data'!$A$3:$AE$254,5,FALSE)),ISBLANK(VLOOKUP($Y$58&amp;$Z104&amp;$AB104,'Age data'!$A$3:$AE$254,5,FALSE))),"",VLOOKUP($Y$58&amp;$Z104&amp;$AB104,'Age data'!$A$3:$AE$254,5,FALSE))</f>
        <v>0.24677466291589872</v>
      </c>
      <c r="AD104" s="20">
        <f>IF(OR(ISERROR(VLOOKUP($Y$58&amp;$Z104&amp;$AB104,'Age data'!$A$3:$AE$254,6,FALSE)),ISBLANK(VLOOKUP($Y$58&amp;$Z104&amp;$AB104,'Age data'!$A$3:$AE$254,6,FALSE))),"",VLOOKUP($Y$58&amp;$Z104&amp;$AB104,'Age data'!$A$3:$AE$254,6,FALSE))</f>
        <v>1.6781453099233679E-2</v>
      </c>
      <c r="AE104" s="20">
        <f>IF(OR(ISERROR(VLOOKUP($Y$58&amp;$Z104&amp;$AB104,'Age data'!$A$3:$AE$254,7,FALSE)),ISBLANK(VLOOKUP($Y$58&amp;$Z104&amp;$AB104,'Age data'!$A$3:$AE$254,7,FALSE))),"",VLOOKUP($Y$58&amp;$Z104&amp;$AB104,'Age data'!$A$3:$AE$254,7,FALSE))</f>
        <v>3.0749830245416627E-2</v>
      </c>
      <c r="AF104" s="20">
        <f>IF(OR(ISERROR(VLOOKUP($Y$58&amp;$Z104&amp;$AB104,'Age data'!$A$3:$AE$254,8,FALSE)),ISBLANK(VLOOKUP($Y$58&amp;$Z104&amp;$AB104,'Age data'!$A$3:$AE$254,8,FALSE))),"",VLOOKUP($Y$58&amp;$Z104&amp;$AB104,'Age data'!$A$3:$AE$254,8,FALSE))</f>
        <v>8.5362304782229115E-3</v>
      </c>
      <c r="AG104" s="20">
        <f>IF(OR(ISERROR(VLOOKUP($Y$58&amp;$Z104&amp;$AB104,'Age data'!$A$3:$AE$254,9,FALSE)),ISBLANK(VLOOKUP($Y$58&amp;$Z104&amp;$AB104,'Age data'!$A$3:$AE$254,9,FALSE))),"",VLOOKUP($Y$58&amp;$Z104&amp;$AB104,'Age data'!$A$3:$AE$254,9,FALSE))</f>
        <v>0.3000291007857212</v>
      </c>
      <c r="AH104" s="20">
        <f>IF(OR(ISERROR(VLOOKUP($Y$58&amp;$Z104&amp;$AB104,'Age data'!$A$3:$AE$254,10,FALSE)),ISBLANK(VLOOKUP($Y$58&amp;$Z104&amp;$AB104,'Age data'!$A$3:$AE$254,10,FALSE))),"",VLOOKUP($Y$58&amp;$Z104&amp;$AB104,'Age data'!$A$3:$AE$254,10,FALSE))</f>
        <v>6.8871859540207588E-3</v>
      </c>
      <c r="AI104" s="20">
        <f>IF(OR(ISERROR(VLOOKUP($Y$58&amp;$Z104&amp;$AB104,'Age data'!$A$3:$AE$254,11,FALSE)),ISBLANK(VLOOKUP($Y$58&amp;$Z104&amp;$AB104,'Age data'!$A$3:$AE$254,11,FALSE))),"",VLOOKUP($Y$58&amp;$Z104&amp;$AB104,'Age data'!$A$3:$AE$254,11,FALSE))</f>
        <v>0.37200504413619168</v>
      </c>
      <c r="AJ104" s="20">
        <f>IF(OR(ISERROR(VLOOKUP($Y$58&amp;$Z104&amp;$AB104,'Age data'!$A$3:$AE$254,12,FALSE)),ISBLANK(VLOOKUP($Y$58&amp;$Z104&amp;$AB104,'Age data'!$A$3:$AE$254,12,FALSE))),"",VLOOKUP($Y$58&amp;$Z104&amp;$AB104,'Age data'!$A$3:$AE$254,12,FALSE))</f>
        <v>1.8236492385294404E-2</v>
      </c>
    </row>
    <row r="105" spans="25:36" x14ac:dyDescent="0.25">
      <c r="Y105" s="25"/>
      <c r="Z105" s="25" t="s">
        <v>34</v>
      </c>
      <c r="AA105" s="33"/>
      <c r="AB105" s="25" t="s">
        <v>12</v>
      </c>
      <c r="AC105" s="20">
        <f>IF(OR(ISERROR(VLOOKUP($Y$58&amp;$Z105&amp;$AB105,'Age data'!$A$3:$AE$254,5,FALSE)),ISBLANK(VLOOKUP($Y$58&amp;$Z105&amp;$AB105,'Age data'!$A$3:$AE$254,5,FALSE))),"",VLOOKUP($Y$58&amp;$Z105&amp;$AB105,'Age data'!$A$3:$AE$254,5,FALSE))</f>
        <v>0.15949345426542311</v>
      </c>
      <c r="AD105" s="20">
        <f>IF(OR(ISERROR(VLOOKUP($Y$58&amp;$Z105&amp;$AB105,'Age data'!$A$3:$AE$254,6,FALSE)),ISBLANK(VLOOKUP($Y$58&amp;$Z105&amp;$AB105,'Age data'!$A$3:$AE$254,6,FALSE))),"",VLOOKUP($Y$58&amp;$Z105&amp;$AB105,'Age data'!$A$3:$AE$254,6,FALSE))</f>
        <v>1.0011123470522803E-2</v>
      </c>
      <c r="AE105" s="20">
        <f>IF(OR(ISERROR(VLOOKUP($Y$58&amp;$Z105&amp;$AB105,'Age data'!$A$3:$AE$254,7,FALSE)),ISBLANK(VLOOKUP($Y$58&amp;$Z105&amp;$AB105,'Age data'!$A$3:$AE$254,7,FALSE))),"",VLOOKUP($Y$58&amp;$Z105&amp;$AB105,'Age data'!$A$3:$AE$254,7,FALSE))</f>
        <v>3.0546761358774707E-2</v>
      </c>
      <c r="AF105" s="20">
        <f>IF(OR(ISERROR(VLOOKUP($Y$58&amp;$Z105&amp;$AB105,'Age data'!$A$3:$AE$254,8,FALSE)),ISBLANK(VLOOKUP($Y$58&amp;$Z105&amp;$AB105,'Age data'!$A$3:$AE$254,8,FALSE))),"",VLOOKUP($Y$58&amp;$Z105&amp;$AB105,'Age data'!$A$3:$AE$254,8,FALSE))</f>
        <v>1.8824334730897579E-3</v>
      </c>
      <c r="AG105" s="20">
        <f>IF(OR(ISERROR(VLOOKUP($Y$58&amp;$Z105&amp;$AB105,'Age data'!$A$3:$AE$254,9,FALSE)),ISBLANK(VLOOKUP($Y$58&amp;$Z105&amp;$AB105,'Age data'!$A$3:$AE$254,9,FALSE))),"",VLOOKUP($Y$58&amp;$Z105&amp;$AB105,'Age data'!$A$3:$AE$254,9,FALSE))</f>
        <v>0.10071019081030204</v>
      </c>
      <c r="AH105" s="20">
        <f>IF(OR(ISERROR(VLOOKUP($Y$58&amp;$Z105&amp;$AB105,'Age data'!$A$3:$AE$254,10,FALSE)),ISBLANK(VLOOKUP($Y$58&amp;$Z105&amp;$AB105,'Age data'!$A$3:$AE$254,10,FALSE))),"",VLOOKUP($Y$58&amp;$Z105&amp;$AB105,'Age data'!$A$3:$AE$254,10,FALSE))</f>
        <v>2.3958244202960553E-3</v>
      </c>
      <c r="AI105" s="20">
        <f>IF(OR(ISERROR(VLOOKUP($Y$58&amp;$Z105&amp;$AB105,'Age data'!$A$3:$AE$254,11,FALSE)),ISBLANK(VLOOKUP($Y$58&amp;$Z105&amp;$AB105,'Age data'!$A$3:$AE$254,11,FALSE))),"",VLOOKUP($Y$58&amp;$Z105&amp;$AB105,'Age data'!$A$3:$AE$254,11,FALSE))</f>
        <v>0.69187986651835376</v>
      </c>
      <c r="AJ105" s="20">
        <f>IF(OR(ISERROR(VLOOKUP($Y$58&amp;$Z105&amp;$AB105,'Age data'!$A$3:$AE$254,12,FALSE)),ISBLANK(VLOOKUP($Y$58&amp;$Z105&amp;$AB105,'Age data'!$A$3:$AE$254,12,FALSE))),"",VLOOKUP($Y$58&amp;$Z105&amp;$AB105,'Age data'!$A$3:$AE$254,12,FALSE))</f>
        <v>3.0803456832377858E-3</v>
      </c>
    </row>
    <row r="106" spans="25:36" x14ac:dyDescent="0.25">
      <c r="Z106" s="62"/>
      <c r="AA106" s="65"/>
      <c r="AC106" s="64"/>
      <c r="AD106" s="64"/>
      <c r="AE106" s="64"/>
      <c r="AF106" s="64"/>
      <c r="AG106" s="64"/>
      <c r="AH106" s="64"/>
      <c r="AI106" s="64"/>
      <c r="AJ106" s="64"/>
    </row>
    <row r="107" spans="25:36" x14ac:dyDescent="0.25">
      <c r="Z107" s="62"/>
      <c r="AA107" s="65"/>
      <c r="AC107" s="64"/>
      <c r="AD107" s="64"/>
      <c r="AE107" s="64"/>
      <c r="AF107" s="64"/>
      <c r="AG107" s="64"/>
      <c r="AH107" s="64"/>
      <c r="AI107" s="64"/>
      <c r="AJ107" s="64"/>
    </row>
    <row r="108" spans="25:36" x14ac:dyDescent="0.25">
      <c r="Z108" s="62"/>
      <c r="AA108" s="65"/>
      <c r="AC108" s="64"/>
      <c r="AD108" s="64"/>
      <c r="AE108" s="64"/>
      <c r="AF108" s="64"/>
      <c r="AG108" s="64"/>
      <c r="AH108" s="64"/>
      <c r="AI108" s="64"/>
      <c r="AJ108" s="64"/>
    </row>
    <row r="109" spans="25:36" x14ac:dyDescent="0.25">
      <c r="Z109" s="62"/>
      <c r="AA109" s="65"/>
      <c r="AC109" s="64"/>
      <c r="AD109" s="64"/>
      <c r="AE109" s="64"/>
      <c r="AF109" s="64"/>
      <c r="AG109" s="64"/>
      <c r="AH109" s="64"/>
      <c r="AI109" s="64"/>
      <c r="AJ109" s="64"/>
    </row>
    <row r="110" spans="25:36" x14ac:dyDescent="0.25">
      <c r="Z110" s="62"/>
      <c r="AA110" s="65"/>
      <c r="AC110" s="64"/>
      <c r="AD110" s="64"/>
      <c r="AE110" s="64"/>
      <c r="AF110" s="64"/>
      <c r="AG110" s="64"/>
      <c r="AH110" s="64"/>
      <c r="AI110" s="64"/>
      <c r="AJ110" s="64"/>
    </row>
    <row r="111" spans="25:36" x14ac:dyDescent="0.25">
      <c r="Z111" s="62"/>
    </row>
  </sheetData>
  <sortState ref="AB58:AB104">
    <sortCondition ref="AB58:AB104"/>
  </sortState>
  <mergeCells count="85">
    <mergeCell ref="AA58:AA63"/>
    <mergeCell ref="AA7:AA13"/>
    <mergeCell ref="AA15:AA21"/>
    <mergeCell ref="D23:W23"/>
    <mergeCell ref="AA47:AA53"/>
    <mergeCell ref="AA39:AA45"/>
    <mergeCell ref="AA31:AA37"/>
    <mergeCell ref="AA23:AA29"/>
    <mergeCell ref="D21:W21"/>
    <mergeCell ref="D22:W22"/>
    <mergeCell ref="D8:D19"/>
    <mergeCell ref="V18:V19"/>
    <mergeCell ref="W18:W19"/>
    <mergeCell ref="V16:V17"/>
    <mergeCell ref="W16:W17"/>
    <mergeCell ref="F18:G18"/>
    <mergeCell ref="N18:O18"/>
    <mergeCell ref="L18:M18"/>
    <mergeCell ref="H18:I18"/>
    <mergeCell ref="J18:K18"/>
    <mergeCell ref="P18:Q18"/>
    <mergeCell ref="T18:U18"/>
    <mergeCell ref="R18:S18"/>
    <mergeCell ref="V14:V15"/>
    <mergeCell ref="P14:Q14"/>
    <mergeCell ref="T14:U14"/>
    <mergeCell ref="R14:S14"/>
    <mergeCell ref="F16:G16"/>
    <mergeCell ref="N16:O16"/>
    <mergeCell ref="L16:M16"/>
    <mergeCell ref="H16:I16"/>
    <mergeCell ref="J16:K16"/>
    <mergeCell ref="F14:G14"/>
    <mergeCell ref="N14:O14"/>
    <mergeCell ref="L14:M14"/>
    <mergeCell ref="H14:I14"/>
    <mergeCell ref="J14:K14"/>
    <mergeCell ref="W12:W13"/>
    <mergeCell ref="W14:W15"/>
    <mergeCell ref="P16:Q16"/>
    <mergeCell ref="T16:U16"/>
    <mergeCell ref="R16:S16"/>
    <mergeCell ref="R8:S8"/>
    <mergeCell ref="V8:V9"/>
    <mergeCell ref="F12:G12"/>
    <mergeCell ref="N12:O12"/>
    <mergeCell ref="L12:M12"/>
    <mergeCell ref="H12:I12"/>
    <mergeCell ref="J12:K12"/>
    <mergeCell ref="P12:Q12"/>
    <mergeCell ref="T12:U12"/>
    <mergeCell ref="R12:S12"/>
    <mergeCell ref="V12:V13"/>
    <mergeCell ref="L8:M8"/>
    <mergeCell ref="H8:I8"/>
    <mergeCell ref="W8:W9"/>
    <mergeCell ref="F10:G10"/>
    <mergeCell ref="N10:O10"/>
    <mergeCell ref="L10:M10"/>
    <mergeCell ref="H10:I10"/>
    <mergeCell ref="J10:K10"/>
    <mergeCell ref="P10:Q10"/>
    <mergeCell ref="T10:U10"/>
    <mergeCell ref="R10:S10"/>
    <mergeCell ref="V10:V11"/>
    <mergeCell ref="W10:W11"/>
    <mergeCell ref="J8:K8"/>
    <mergeCell ref="P8:Q8"/>
    <mergeCell ref="T8:U8"/>
    <mergeCell ref="AL2:AY2"/>
    <mergeCell ref="AL35:AY35"/>
    <mergeCell ref="B7:B8"/>
    <mergeCell ref="B2:B4"/>
    <mergeCell ref="D2:W4"/>
    <mergeCell ref="D6:E6"/>
    <mergeCell ref="F6:G6"/>
    <mergeCell ref="N6:O6"/>
    <mergeCell ref="L6:M6"/>
    <mergeCell ref="H6:I6"/>
    <mergeCell ref="J6:K6"/>
    <mergeCell ref="P6:Q6"/>
    <mergeCell ref="T6:U6"/>
    <mergeCell ref="R6:S6"/>
    <mergeCell ref="F8:G8"/>
    <mergeCell ref="N8:O8"/>
  </mergeCells>
  <conditionalFormatting sqref="D8">
    <cfRule type="cellIs" dxfId="145" priority="776" operator="equal">
      <formula>2015</formula>
    </cfRule>
    <cfRule type="cellIs" dxfId="144" priority="777" operator="equal">
      <formula>2014</formula>
    </cfRule>
    <cfRule type="cellIs" dxfId="143" priority="778" operator="equal">
      <formula>2013</formula>
    </cfRule>
    <cfRule type="cellIs" dxfId="142" priority="780" operator="equal">
      <formula>2012</formula>
    </cfRule>
    <cfRule type="cellIs" dxfId="141" priority="781" operator="equal">
      <formula>2011</formula>
    </cfRule>
    <cfRule type="cellIs" dxfId="140" priority="782" operator="equal">
      <formula>2010</formula>
    </cfRule>
    <cfRule type="cellIs" dxfId="139" priority="783" operator="equal">
      <formula>2009</formula>
    </cfRule>
    <cfRule type="cellIs" dxfId="138" priority="784" operator="equal">
      <formula>"2006-2013"</formula>
    </cfRule>
    <cfRule type="cellIs" dxfId="137" priority="785" operator="equal">
      <formula>2007</formula>
    </cfRule>
    <cfRule type="cellIs" dxfId="136" priority="786" operator="equal">
      <formula>2008</formula>
    </cfRule>
    <cfRule type="cellIs" dxfId="135" priority="787" operator="equal">
      <formula>2006</formula>
    </cfRule>
  </conditionalFormatting>
  <conditionalFormatting sqref="F8">
    <cfRule type="colorScale" priority="788">
      <colorScale>
        <cfvo type="min"/>
        <cfvo type="max"/>
        <color rgb="FFFFEF9C"/>
        <color rgb="FFFF7128"/>
      </colorScale>
    </cfRule>
    <cfRule type="containsBlanks" dxfId="134" priority="789">
      <formula>LEN(TRIM(F8))=0</formula>
    </cfRule>
  </conditionalFormatting>
  <conditionalFormatting sqref="F8:G8">
    <cfRule type="colorScale" priority="761">
      <colorScale>
        <cfvo type="min"/>
        <cfvo type="max"/>
        <color rgb="FFFFEF9C"/>
        <color rgb="FFFF7128"/>
      </colorScale>
    </cfRule>
  </conditionalFormatting>
  <conditionalFormatting sqref="F8:G8">
    <cfRule type="colorScale" priority="760">
      <colorScale>
        <cfvo type="min"/>
        <cfvo type="max"/>
        <color rgb="FFFFEF9C"/>
        <color rgb="FFFF7128"/>
      </colorScale>
    </cfRule>
  </conditionalFormatting>
  <conditionalFormatting sqref="N8">
    <cfRule type="colorScale" priority="650">
      <colorScale>
        <cfvo type="min"/>
        <cfvo type="max"/>
        <color rgb="FFFFEF9C"/>
        <color rgb="FFFF7128"/>
      </colorScale>
    </cfRule>
    <cfRule type="containsBlanks" dxfId="133" priority="651">
      <formula>LEN(TRIM(N8))=0</formula>
    </cfRule>
  </conditionalFormatting>
  <conditionalFormatting sqref="N8:O8">
    <cfRule type="colorScale" priority="649">
      <colorScale>
        <cfvo type="min"/>
        <cfvo type="max"/>
        <color rgb="FFFFEF9C"/>
        <color rgb="FFFF7128"/>
      </colorScale>
    </cfRule>
  </conditionalFormatting>
  <conditionalFormatting sqref="N8:O8">
    <cfRule type="colorScale" priority="648">
      <colorScale>
        <cfvo type="min"/>
        <cfvo type="max"/>
        <color rgb="FFFFEF9C"/>
        <color rgb="FFFF7128"/>
      </colorScale>
    </cfRule>
  </conditionalFormatting>
  <conditionalFormatting sqref="L8">
    <cfRule type="colorScale" priority="646">
      <colorScale>
        <cfvo type="min"/>
        <cfvo type="max"/>
        <color rgb="FFFFEF9C"/>
        <color rgb="FFFF7128"/>
      </colorScale>
    </cfRule>
    <cfRule type="containsBlanks" dxfId="132" priority="647">
      <formula>LEN(TRIM(L8))=0</formula>
    </cfRule>
  </conditionalFormatting>
  <conditionalFormatting sqref="L8:M8">
    <cfRule type="colorScale" priority="645">
      <colorScale>
        <cfvo type="min"/>
        <cfvo type="max"/>
        <color rgb="FFFFEF9C"/>
        <color rgb="FFFF7128"/>
      </colorScale>
    </cfRule>
  </conditionalFormatting>
  <conditionalFormatting sqref="L8:M8">
    <cfRule type="colorScale" priority="644">
      <colorScale>
        <cfvo type="min"/>
        <cfvo type="max"/>
        <color rgb="FFFFEF9C"/>
        <color rgb="FFFF7128"/>
      </colorScale>
    </cfRule>
  </conditionalFormatting>
  <conditionalFormatting sqref="H8">
    <cfRule type="colorScale" priority="642">
      <colorScale>
        <cfvo type="min"/>
        <cfvo type="max"/>
        <color rgb="FFFFEF9C"/>
        <color rgb="FFFF7128"/>
      </colorScale>
    </cfRule>
    <cfRule type="containsBlanks" dxfId="131" priority="643">
      <formula>LEN(TRIM(H8))=0</formula>
    </cfRule>
  </conditionalFormatting>
  <conditionalFormatting sqref="H8:I8">
    <cfRule type="colorScale" priority="641">
      <colorScale>
        <cfvo type="min"/>
        <cfvo type="max"/>
        <color rgb="FFFFEF9C"/>
        <color rgb="FFFF7128"/>
      </colorScale>
    </cfRule>
  </conditionalFormatting>
  <conditionalFormatting sqref="H8:I8">
    <cfRule type="colorScale" priority="640">
      <colorScale>
        <cfvo type="min"/>
        <cfvo type="max"/>
        <color rgb="FFFFEF9C"/>
        <color rgb="FFFF7128"/>
      </colorScale>
    </cfRule>
  </conditionalFormatting>
  <conditionalFormatting sqref="J8">
    <cfRule type="colorScale" priority="638">
      <colorScale>
        <cfvo type="min"/>
        <cfvo type="max"/>
        <color rgb="FFFFEF9C"/>
        <color rgb="FFFF7128"/>
      </colorScale>
    </cfRule>
    <cfRule type="containsBlanks" dxfId="130" priority="639">
      <formula>LEN(TRIM(J8))=0</formula>
    </cfRule>
  </conditionalFormatting>
  <conditionalFormatting sqref="J8:K8">
    <cfRule type="colorScale" priority="637">
      <colorScale>
        <cfvo type="min"/>
        <cfvo type="max"/>
        <color rgb="FFFFEF9C"/>
        <color rgb="FFFF7128"/>
      </colorScale>
    </cfRule>
  </conditionalFormatting>
  <conditionalFormatting sqref="J8:K8">
    <cfRule type="colorScale" priority="636">
      <colorScale>
        <cfvo type="min"/>
        <cfvo type="max"/>
        <color rgb="FFFFEF9C"/>
        <color rgb="FFFF7128"/>
      </colorScale>
    </cfRule>
  </conditionalFormatting>
  <conditionalFormatting sqref="P8">
    <cfRule type="colorScale" priority="634">
      <colorScale>
        <cfvo type="min"/>
        <cfvo type="max"/>
        <color rgb="FFFFEF9C"/>
        <color rgb="FFFF7128"/>
      </colorScale>
    </cfRule>
    <cfRule type="containsBlanks" dxfId="129" priority="635">
      <formula>LEN(TRIM(P8))=0</formula>
    </cfRule>
  </conditionalFormatting>
  <conditionalFormatting sqref="P8:Q8">
    <cfRule type="colorScale" priority="633">
      <colorScale>
        <cfvo type="min"/>
        <cfvo type="max"/>
        <color rgb="FFFFEF9C"/>
        <color rgb="FFFF7128"/>
      </colorScale>
    </cfRule>
  </conditionalFormatting>
  <conditionalFormatting sqref="P8:Q8">
    <cfRule type="colorScale" priority="632">
      <colorScale>
        <cfvo type="min"/>
        <cfvo type="max"/>
        <color rgb="FFFFEF9C"/>
        <color rgb="FFFF7128"/>
      </colorScale>
    </cfRule>
  </conditionalFormatting>
  <conditionalFormatting sqref="T8">
    <cfRule type="colorScale" priority="630">
      <colorScale>
        <cfvo type="min"/>
        <cfvo type="max"/>
        <color rgb="FFFFEF9C"/>
        <color rgb="FFFF7128"/>
      </colorScale>
    </cfRule>
    <cfRule type="containsBlanks" dxfId="128" priority="631">
      <formula>LEN(TRIM(T8))=0</formula>
    </cfRule>
  </conditionalFormatting>
  <conditionalFormatting sqref="T8:U8">
    <cfRule type="colorScale" priority="629">
      <colorScale>
        <cfvo type="min"/>
        <cfvo type="max"/>
        <color rgb="FFFFEF9C"/>
        <color rgb="FFFF7128"/>
      </colorScale>
    </cfRule>
  </conditionalFormatting>
  <conditionalFormatting sqref="T8:U8">
    <cfRule type="colorScale" priority="628">
      <colorScale>
        <cfvo type="min"/>
        <cfvo type="max"/>
        <color rgb="FFFFEF9C"/>
        <color rgb="FFFF7128"/>
      </colorScale>
    </cfRule>
  </conditionalFormatting>
  <conditionalFormatting sqref="R8">
    <cfRule type="colorScale" priority="626">
      <colorScale>
        <cfvo type="min"/>
        <cfvo type="max"/>
        <color rgb="FFFFEF9C"/>
        <color rgb="FFFF7128"/>
      </colorScale>
    </cfRule>
    <cfRule type="containsBlanks" dxfId="127" priority="627">
      <formula>LEN(TRIM(R8))=0</formula>
    </cfRule>
  </conditionalFormatting>
  <conditionalFormatting sqref="R8:S8">
    <cfRule type="colorScale" priority="625">
      <colorScale>
        <cfvo type="min"/>
        <cfvo type="max"/>
        <color rgb="FFFFEF9C"/>
        <color rgb="FFFF7128"/>
      </colorScale>
    </cfRule>
  </conditionalFormatting>
  <conditionalFormatting sqref="R8:S8">
    <cfRule type="colorScale" priority="624">
      <colorScale>
        <cfvo type="min"/>
        <cfvo type="max"/>
        <color rgb="FFFFEF9C"/>
        <color rgb="FFFF7128"/>
      </colorScale>
    </cfRule>
  </conditionalFormatting>
  <conditionalFormatting sqref="D2:W4">
    <cfRule type="cellIs" dxfId="126" priority="182" operator="equal">
      <formula>"Prostate is not covered by a screening programme, please select a different site or route"</formula>
    </cfRule>
    <cfRule type="cellIs" dxfId="125" priority="184" operator="equal">
      <formula>"SCLC is not covered by a screening programme, please select a different site or route"</formula>
    </cfRule>
    <cfRule type="cellIs" dxfId="124" priority="185" operator="equal">
      <formula>"NSCLC is not covered by a screening programme, please select a different site or route"</formula>
    </cfRule>
  </conditionalFormatting>
  <conditionalFormatting sqref="F8:U8">
    <cfRule type="colorScale" priority="181">
      <colorScale>
        <cfvo type="min"/>
        <cfvo type="max"/>
        <color rgb="FFFFEF9C"/>
        <color rgb="FFFF7128"/>
      </colorScale>
    </cfRule>
    <cfRule type="colorScale" priority="906">
      <colorScale>
        <cfvo type="min"/>
        <cfvo type="max"/>
        <color rgb="FFFFEF9C"/>
        <color rgb="FFFF7128"/>
      </colorScale>
    </cfRule>
    <cfRule type="colorScale" priority="907">
      <colorScale>
        <cfvo type="min"/>
        <cfvo type="max"/>
        <color rgb="FFFF7128"/>
        <color rgb="FFFFEF9C"/>
      </colorScale>
    </cfRule>
    <cfRule type="colorScale" priority="908">
      <colorScale>
        <cfvo type="min"/>
        <cfvo type="max"/>
        <color rgb="FFFFEF9C"/>
        <color rgb="FFFF7128"/>
      </colorScale>
    </cfRule>
  </conditionalFormatting>
  <conditionalFormatting sqref="F10">
    <cfRule type="colorScale" priority="176">
      <colorScale>
        <cfvo type="min"/>
        <cfvo type="max"/>
        <color rgb="FFFFEF9C"/>
        <color rgb="FFFF7128"/>
      </colorScale>
    </cfRule>
    <cfRule type="containsBlanks" dxfId="123" priority="177">
      <formula>LEN(TRIM(F10))=0</formula>
    </cfRule>
  </conditionalFormatting>
  <conditionalFormatting sqref="F10:G10">
    <cfRule type="colorScale" priority="175">
      <colorScale>
        <cfvo type="min"/>
        <cfvo type="max"/>
        <color rgb="FFFFEF9C"/>
        <color rgb="FFFF7128"/>
      </colorScale>
    </cfRule>
  </conditionalFormatting>
  <conditionalFormatting sqref="F10:G10">
    <cfRule type="colorScale" priority="174">
      <colorScale>
        <cfvo type="min"/>
        <cfvo type="max"/>
        <color rgb="FFFFEF9C"/>
        <color rgb="FFFF7128"/>
      </colorScale>
    </cfRule>
  </conditionalFormatting>
  <conditionalFormatting sqref="N10">
    <cfRule type="colorScale" priority="172">
      <colorScale>
        <cfvo type="min"/>
        <cfvo type="max"/>
        <color rgb="FFFFEF9C"/>
        <color rgb="FFFF7128"/>
      </colorScale>
    </cfRule>
    <cfRule type="containsBlanks" dxfId="122" priority="173">
      <formula>LEN(TRIM(N10))=0</formula>
    </cfRule>
  </conditionalFormatting>
  <conditionalFormatting sqref="N10:O10">
    <cfRule type="colorScale" priority="171">
      <colorScale>
        <cfvo type="min"/>
        <cfvo type="max"/>
        <color rgb="FFFFEF9C"/>
        <color rgb="FFFF7128"/>
      </colorScale>
    </cfRule>
  </conditionalFormatting>
  <conditionalFormatting sqref="N10:O10">
    <cfRule type="colorScale" priority="170">
      <colorScale>
        <cfvo type="min"/>
        <cfvo type="max"/>
        <color rgb="FFFFEF9C"/>
        <color rgb="FFFF7128"/>
      </colorScale>
    </cfRule>
  </conditionalFormatting>
  <conditionalFormatting sqref="L10">
    <cfRule type="colorScale" priority="168">
      <colorScale>
        <cfvo type="min"/>
        <cfvo type="max"/>
        <color rgb="FFFFEF9C"/>
        <color rgb="FFFF7128"/>
      </colorScale>
    </cfRule>
    <cfRule type="containsBlanks" dxfId="121" priority="169">
      <formula>LEN(TRIM(L10))=0</formula>
    </cfRule>
  </conditionalFormatting>
  <conditionalFormatting sqref="L10:M10">
    <cfRule type="colorScale" priority="167">
      <colorScale>
        <cfvo type="min"/>
        <cfvo type="max"/>
        <color rgb="FFFFEF9C"/>
        <color rgb="FFFF7128"/>
      </colorScale>
    </cfRule>
  </conditionalFormatting>
  <conditionalFormatting sqref="L10:M10">
    <cfRule type="colorScale" priority="166">
      <colorScale>
        <cfvo type="min"/>
        <cfvo type="max"/>
        <color rgb="FFFFEF9C"/>
        <color rgb="FFFF7128"/>
      </colorScale>
    </cfRule>
  </conditionalFormatting>
  <conditionalFormatting sqref="H10">
    <cfRule type="colorScale" priority="164">
      <colorScale>
        <cfvo type="min"/>
        <cfvo type="max"/>
        <color rgb="FFFFEF9C"/>
        <color rgb="FFFF7128"/>
      </colorScale>
    </cfRule>
    <cfRule type="containsBlanks" dxfId="120" priority="165">
      <formula>LEN(TRIM(H10))=0</formula>
    </cfRule>
  </conditionalFormatting>
  <conditionalFormatting sqref="H10:I10">
    <cfRule type="colorScale" priority="163">
      <colorScale>
        <cfvo type="min"/>
        <cfvo type="max"/>
        <color rgb="FFFFEF9C"/>
        <color rgb="FFFF7128"/>
      </colorScale>
    </cfRule>
  </conditionalFormatting>
  <conditionalFormatting sqref="H10:I10">
    <cfRule type="colorScale" priority="162">
      <colorScale>
        <cfvo type="min"/>
        <cfvo type="max"/>
        <color rgb="FFFFEF9C"/>
        <color rgb="FFFF7128"/>
      </colorScale>
    </cfRule>
  </conditionalFormatting>
  <conditionalFormatting sqref="J10">
    <cfRule type="colorScale" priority="160">
      <colorScale>
        <cfvo type="min"/>
        <cfvo type="max"/>
        <color rgb="FFFFEF9C"/>
        <color rgb="FFFF7128"/>
      </colorScale>
    </cfRule>
    <cfRule type="containsBlanks" dxfId="119" priority="161">
      <formula>LEN(TRIM(J10))=0</formula>
    </cfRule>
  </conditionalFormatting>
  <conditionalFormatting sqref="J10:K10">
    <cfRule type="colorScale" priority="159">
      <colorScale>
        <cfvo type="min"/>
        <cfvo type="max"/>
        <color rgb="FFFFEF9C"/>
        <color rgb="FFFF7128"/>
      </colorScale>
    </cfRule>
  </conditionalFormatting>
  <conditionalFormatting sqref="J10:K10">
    <cfRule type="colorScale" priority="158">
      <colorScale>
        <cfvo type="min"/>
        <cfvo type="max"/>
        <color rgb="FFFFEF9C"/>
        <color rgb="FFFF7128"/>
      </colorScale>
    </cfRule>
  </conditionalFormatting>
  <conditionalFormatting sqref="P10">
    <cfRule type="colorScale" priority="156">
      <colorScale>
        <cfvo type="min"/>
        <cfvo type="max"/>
        <color rgb="FFFFEF9C"/>
        <color rgb="FFFF7128"/>
      </colorScale>
    </cfRule>
    <cfRule type="containsBlanks" dxfId="118" priority="157">
      <formula>LEN(TRIM(P10))=0</formula>
    </cfRule>
  </conditionalFormatting>
  <conditionalFormatting sqref="P10:Q10">
    <cfRule type="colorScale" priority="155">
      <colorScale>
        <cfvo type="min"/>
        <cfvo type="max"/>
        <color rgb="FFFFEF9C"/>
        <color rgb="FFFF7128"/>
      </colorScale>
    </cfRule>
  </conditionalFormatting>
  <conditionalFormatting sqref="P10:Q10">
    <cfRule type="colorScale" priority="154">
      <colorScale>
        <cfvo type="min"/>
        <cfvo type="max"/>
        <color rgb="FFFFEF9C"/>
        <color rgb="FFFF7128"/>
      </colorScale>
    </cfRule>
  </conditionalFormatting>
  <conditionalFormatting sqref="T10">
    <cfRule type="colorScale" priority="152">
      <colorScale>
        <cfvo type="min"/>
        <cfvo type="max"/>
        <color rgb="FFFFEF9C"/>
        <color rgb="FFFF7128"/>
      </colorScale>
    </cfRule>
    <cfRule type="containsBlanks" dxfId="117" priority="153">
      <formula>LEN(TRIM(T10))=0</formula>
    </cfRule>
  </conditionalFormatting>
  <conditionalFormatting sqref="T10:U10">
    <cfRule type="colorScale" priority="151">
      <colorScale>
        <cfvo type="min"/>
        <cfvo type="max"/>
        <color rgb="FFFFEF9C"/>
        <color rgb="FFFF7128"/>
      </colorScale>
    </cfRule>
  </conditionalFormatting>
  <conditionalFormatting sqref="T10:U10">
    <cfRule type="colorScale" priority="150">
      <colorScale>
        <cfvo type="min"/>
        <cfvo type="max"/>
        <color rgb="FFFFEF9C"/>
        <color rgb="FFFF7128"/>
      </colorScale>
    </cfRule>
  </conditionalFormatting>
  <conditionalFormatting sqref="R10">
    <cfRule type="colorScale" priority="148">
      <colorScale>
        <cfvo type="min"/>
        <cfvo type="max"/>
        <color rgb="FFFFEF9C"/>
        <color rgb="FFFF7128"/>
      </colorScale>
    </cfRule>
    <cfRule type="containsBlanks" dxfId="116" priority="149">
      <formula>LEN(TRIM(R10))=0</formula>
    </cfRule>
  </conditionalFormatting>
  <conditionalFormatting sqref="R10:S10">
    <cfRule type="colorScale" priority="147">
      <colorScale>
        <cfvo type="min"/>
        <cfvo type="max"/>
        <color rgb="FFFFEF9C"/>
        <color rgb="FFFF7128"/>
      </colorScale>
    </cfRule>
  </conditionalFormatting>
  <conditionalFormatting sqref="R10:S10">
    <cfRule type="colorScale" priority="146">
      <colorScale>
        <cfvo type="min"/>
        <cfvo type="max"/>
        <color rgb="FFFFEF9C"/>
        <color rgb="FFFF7128"/>
      </colorScale>
    </cfRule>
  </conditionalFormatting>
  <conditionalFormatting sqref="F10:U10">
    <cfRule type="colorScale" priority="145">
      <colorScale>
        <cfvo type="min"/>
        <cfvo type="max"/>
        <color rgb="FFFFEF9C"/>
        <color rgb="FFFF7128"/>
      </colorScale>
    </cfRule>
    <cfRule type="colorScale" priority="178">
      <colorScale>
        <cfvo type="min"/>
        <cfvo type="max"/>
        <color rgb="FFFFEF9C"/>
        <color rgb="FFFF7128"/>
      </colorScale>
    </cfRule>
    <cfRule type="colorScale" priority="179">
      <colorScale>
        <cfvo type="min"/>
        <cfvo type="max"/>
        <color rgb="FFFF7128"/>
        <color rgb="FFFFEF9C"/>
      </colorScale>
    </cfRule>
    <cfRule type="colorScale" priority="180">
      <colorScale>
        <cfvo type="min"/>
        <cfvo type="max"/>
        <color rgb="FFFFEF9C"/>
        <color rgb="FFFF7128"/>
      </colorScale>
    </cfRule>
  </conditionalFormatting>
  <conditionalFormatting sqref="F12">
    <cfRule type="colorScale" priority="140">
      <colorScale>
        <cfvo type="min"/>
        <cfvo type="max"/>
        <color rgb="FFFFEF9C"/>
        <color rgb="FFFF7128"/>
      </colorScale>
    </cfRule>
    <cfRule type="containsBlanks" dxfId="115" priority="141">
      <formula>LEN(TRIM(F12))=0</formula>
    </cfRule>
  </conditionalFormatting>
  <conditionalFormatting sqref="F12:G12">
    <cfRule type="colorScale" priority="139">
      <colorScale>
        <cfvo type="min"/>
        <cfvo type="max"/>
        <color rgb="FFFFEF9C"/>
        <color rgb="FFFF7128"/>
      </colorScale>
    </cfRule>
  </conditionalFormatting>
  <conditionalFormatting sqref="F12:G12">
    <cfRule type="colorScale" priority="138">
      <colorScale>
        <cfvo type="min"/>
        <cfvo type="max"/>
        <color rgb="FFFFEF9C"/>
        <color rgb="FFFF7128"/>
      </colorScale>
    </cfRule>
  </conditionalFormatting>
  <conditionalFormatting sqref="N12">
    <cfRule type="colorScale" priority="136">
      <colorScale>
        <cfvo type="min"/>
        <cfvo type="max"/>
        <color rgb="FFFFEF9C"/>
        <color rgb="FFFF7128"/>
      </colorScale>
    </cfRule>
    <cfRule type="containsBlanks" dxfId="114" priority="137">
      <formula>LEN(TRIM(N12))=0</formula>
    </cfRule>
  </conditionalFormatting>
  <conditionalFormatting sqref="N12:O12">
    <cfRule type="colorScale" priority="135">
      <colorScale>
        <cfvo type="min"/>
        <cfvo type="max"/>
        <color rgb="FFFFEF9C"/>
        <color rgb="FFFF7128"/>
      </colorScale>
    </cfRule>
  </conditionalFormatting>
  <conditionalFormatting sqref="N12:O12">
    <cfRule type="colorScale" priority="134">
      <colorScale>
        <cfvo type="min"/>
        <cfvo type="max"/>
        <color rgb="FFFFEF9C"/>
        <color rgb="FFFF7128"/>
      </colorScale>
    </cfRule>
  </conditionalFormatting>
  <conditionalFormatting sqref="L12">
    <cfRule type="colorScale" priority="132">
      <colorScale>
        <cfvo type="min"/>
        <cfvo type="max"/>
        <color rgb="FFFFEF9C"/>
        <color rgb="FFFF7128"/>
      </colorScale>
    </cfRule>
    <cfRule type="containsBlanks" dxfId="113" priority="133">
      <formula>LEN(TRIM(L12))=0</formula>
    </cfRule>
  </conditionalFormatting>
  <conditionalFormatting sqref="L12:M12">
    <cfRule type="colorScale" priority="131">
      <colorScale>
        <cfvo type="min"/>
        <cfvo type="max"/>
        <color rgb="FFFFEF9C"/>
        <color rgb="FFFF7128"/>
      </colorScale>
    </cfRule>
  </conditionalFormatting>
  <conditionalFormatting sqref="L12:M12">
    <cfRule type="colorScale" priority="130">
      <colorScale>
        <cfvo type="min"/>
        <cfvo type="max"/>
        <color rgb="FFFFEF9C"/>
        <color rgb="FFFF7128"/>
      </colorScale>
    </cfRule>
  </conditionalFormatting>
  <conditionalFormatting sqref="H12">
    <cfRule type="colorScale" priority="128">
      <colorScale>
        <cfvo type="min"/>
        <cfvo type="max"/>
        <color rgb="FFFFEF9C"/>
        <color rgb="FFFF7128"/>
      </colorScale>
    </cfRule>
    <cfRule type="containsBlanks" dxfId="112" priority="129">
      <formula>LEN(TRIM(H12))=0</formula>
    </cfRule>
  </conditionalFormatting>
  <conditionalFormatting sqref="H12:I12">
    <cfRule type="colorScale" priority="127">
      <colorScale>
        <cfvo type="min"/>
        <cfvo type="max"/>
        <color rgb="FFFFEF9C"/>
        <color rgb="FFFF7128"/>
      </colorScale>
    </cfRule>
  </conditionalFormatting>
  <conditionalFormatting sqref="H12:I12">
    <cfRule type="colorScale" priority="126">
      <colorScale>
        <cfvo type="min"/>
        <cfvo type="max"/>
        <color rgb="FFFFEF9C"/>
        <color rgb="FFFF7128"/>
      </colorScale>
    </cfRule>
  </conditionalFormatting>
  <conditionalFormatting sqref="J12">
    <cfRule type="colorScale" priority="124">
      <colorScale>
        <cfvo type="min"/>
        <cfvo type="max"/>
        <color rgb="FFFFEF9C"/>
        <color rgb="FFFF7128"/>
      </colorScale>
    </cfRule>
    <cfRule type="containsBlanks" dxfId="111" priority="125">
      <formula>LEN(TRIM(J12))=0</formula>
    </cfRule>
  </conditionalFormatting>
  <conditionalFormatting sqref="J12:K12">
    <cfRule type="colorScale" priority="123">
      <colorScale>
        <cfvo type="min"/>
        <cfvo type="max"/>
        <color rgb="FFFFEF9C"/>
        <color rgb="FFFF7128"/>
      </colorScale>
    </cfRule>
  </conditionalFormatting>
  <conditionalFormatting sqref="J12:K12">
    <cfRule type="colorScale" priority="122">
      <colorScale>
        <cfvo type="min"/>
        <cfvo type="max"/>
        <color rgb="FFFFEF9C"/>
        <color rgb="FFFF7128"/>
      </colorScale>
    </cfRule>
  </conditionalFormatting>
  <conditionalFormatting sqref="P12">
    <cfRule type="colorScale" priority="120">
      <colorScale>
        <cfvo type="min"/>
        <cfvo type="max"/>
        <color rgb="FFFFEF9C"/>
        <color rgb="FFFF7128"/>
      </colorScale>
    </cfRule>
    <cfRule type="containsBlanks" dxfId="110" priority="121">
      <formula>LEN(TRIM(P12))=0</formula>
    </cfRule>
  </conditionalFormatting>
  <conditionalFormatting sqref="P12:Q12">
    <cfRule type="colorScale" priority="119">
      <colorScale>
        <cfvo type="min"/>
        <cfvo type="max"/>
        <color rgb="FFFFEF9C"/>
        <color rgb="FFFF7128"/>
      </colorScale>
    </cfRule>
  </conditionalFormatting>
  <conditionalFormatting sqref="P12:Q12">
    <cfRule type="colorScale" priority="118">
      <colorScale>
        <cfvo type="min"/>
        <cfvo type="max"/>
        <color rgb="FFFFEF9C"/>
        <color rgb="FFFF7128"/>
      </colorScale>
    </cfRule>
  </conditionalFormatting>
  <conditionalFormatting sqref="T12">
    <cfRule type="colorScale" priority="116">
      <colorScale>
        <cfvo type="min"/>
        <cfvo type="max"/>
        <color rgb="FFFFEF9C"/>
        <color rgb="FFFF7128"/>
      </colorScale>
    </cfRule>
    <cfRule type="containsBlanks" dxfId="109" priority="117">
      <formula>LEN(TRIM(T12))=0</formula>
    </cfRule>
  </conditionalFormatting>
  <conditionalFormatting sqref="T12:U12">
    <cfRule type="colorScale" priority="115">
      <colorScale>
        <cfvo type="min"/>
        <cfvo type="max"/>
        <color rgb="FFFFEF9C"/>
        <color rgb="FFFF7128"/>
      </colorScale>
    </cfRule>
  </conditionalFormatting>
  <conditionalFormatting sqref="T12:U12">
    <cfRule type="colorScale" priority="114">
      <colorScale>
        <cfvo type="min"/>
        <cfvo type="max"/>
        <color rgb="FFFFEF9C"/>
        <color rgb="FFFF7128"/>
      </colorScale>
    </cfRule>
  </conditionalFormatting>
  <conditionalFormatting sqref="R12">
    <cfRule type="colorScale" priority="112">
      <colorScale>
        <cfvo type="min"/>
        <cfvo type="max"/>
        <color rgb="FFFFEF9C"/>
        <color rgb="FFFF7128"/>
      </colorScale>
    </cfRule>
    <cfRule type="containsBlanks" dxfId="108" priority="113">
      <formula>LEN(TRIM(R12))=0</formula>
    </cfRule>
  </conditionalFormatting>
  <conditionalFormatting sqref="R12:S12">
    <cfRule type="colorScale" priority="111">
      <colorScale>
        <cfvo type="min"/>
        <cfvo type="max"/>
        <color rgb="FFFFEF9C"/>
        <color rgb="FFFF7128"/>
      </colorScale>
    </cfRule>
  </conditionalFormatting>
  <conditionalFormatting sqref="R12:S12">
    <cfRule type="colorScale" priority="110">
      <colorScale>
        <cfvo type="min"/>
        <cfvo type="max"/>
        <color rgb="FFFFEF9C"/>
        <color rgb="FFFF7128"/>
      </colorScale>
    </cfRule>
  </conditionalFormatting>
  <conditionalFormatting sqref="F12:U12">
    <cfRule type="colorScale" priority="109">
      <colorScale>
        <cfvo type="min"/>
        <cfvo type="max"/>
        <color rgb="FFFFEF9C"/>
        <color rgb="FFFF7128"/>
      </colorScale>
    </cfRule>
    <cfRule type="colorScale" priority="142">
      <colorScale>
        <cfvo type="min"/>
        <cfvo type="max"/>
        <color rgb="FFFFEF9C"/>
        <color rgb="FFFF7128"/>
      </colorScale>
    </cfRule>
    <cfRule type="colorScale" priority="143">
      <colorScale>
        <cfvo type="min"/>
        <cfvo type="max"/>
        <color rgb="FFFF7128"/>
        <color rgb="FFFFEF9C"/>
      </colorScale>
    </cfRule>
    <cfRule type="colorScale" priority="144">
      <colorScale>
        <cfvo type="min"/>
        <cfvo type="max"/>
        <color rgb="FFFFEF9C"/>
        <color rgb="FFFF7128"/>
      </colorScale>
    </cfRule>
  </conditionalFormatting>
  <conditionalFormatting sqref="F14">
    <cfRule type="colorScale" priority="104">
      <colorScale>
        <cfvo type="min"/>
        <cfvo type="max"/>
        <color rgb="FFFFEF9C"/>
        <color rgb="FFFF7128"/>
      </colorScale>
    </cfRule>
    <cfRule type="containsBlanks" dxfId="107" priority="105">
      <formula>LEN(TRIM(F14))=0</formula>
    </cfRule>
  </conditionalFormatting>
  <conditionalFormatting sqref="F14:G14">
    <cfRule type="colorScale" priority="103">
      <colorScale>
        <cfvo type="min"/>
        <cfvo type="max"/>
        <color rgb="FFFFEF9C"/>
        <color rgb="FFFF7128"/>
      </colorScale>
    </cfRule>
  </conditionalFormatting>
  <conditionalFormatting sqref="F14:G14">
    <cfRule type="colorScale" priority="102">
      <colorScale>
        <cfvo type="min"/>
        <cfvo type="max"/>
        <color rgb="FFFFEF9C"/>
        <color rgb="FFFF7128"/>
      </colorScale>
    </cfRule>
  </conditionalFormatting>
  <conditionalFormatting sqref="N14">
    <cfRule type="colorScale" priority="100">
      <colorScale>
        <cfvo type="min"/>
        <cfvo type="max"/>
        <color rgb="FFFFEF9C"/>
        <color rgb="FFFF7128"/>
      </colorScale>
    </cfRule>
    <cfRule type="containsBlanks" dxfId="106" priority="101">
      <formula>LEN(TRIM(N14))=0</formula>
    </cfRule>
  </conditionalFormatting>
  <conditionalFormatting sqref="N14:O14">
    <cfRule type="colorScale" priority="99">
      <colorScale>
        <cfvo type="min"/>
        <cfvo type="max"/>
        <color rgb="FFFFEF9C"/>
        <color rgb="FFFF7128"/>
      </colorScale>
    </cfRule>
  </conditionalFormatting>
  <conditionalFormatting sqref="N14:O14">
    <cfRule type="colorScale" priority="98">
      <colorScale>
        <cfvo type="min"/>
        <cfvo type="max"/>
        <color rgb="FFFFEF9C"/>
        <color rgb="FFFF7128"/>
      </colorScale>
    </cfRule>
  </conditionalFormatting>
  <conditionalFormatting sqref="L14">
    <cfRule type="colorScale" priority="96">
      <colorScale>
        <cfvo type="min"/>
        <cfvo type="max"/>
        <color rgb="FFFFEF9C"/>
        <color rgb="FFFF7128"/>
      </colorScale>
    </cfRule>
    <cfRule type="containsBlanks" dxfId="105" priority="97">
      <formula>LEN(TRIM(L14))=0</formula>
    </cfRule>
  </conditionalFormatting>
  <conditionalFormatting sqref="L14:M14">
    <cfRule type="colorScale" priority="95">
      <colorScale>
        <cfvo type="min"/>
        <cfvo type="max"/>
        <color rgb="FFFFEF9C"/>
        <color rgb="FFFF7128"/>
      </colorScale>
    </cfRule>
  </conditionalFormatting>
  <conditionalFormatting sqref="L14:M14">
    <cfRule type="colorScale" priority="94">
      <colorScale>
        <cfvo type="min"/>
        <cfvo type="max"/>
        <color rgb="FFFFEF9C"/>
        <color rgb="FFFF7128"/>
      </colorScale>
    </cfRule>
  </conditionalFormatting>
  <conditionalFormatting sqref="H14">
    <cfRule type="colorScale" priority="92">
      <colorScale>
        <cfvo type="min"/>
        <cfvo type="max"/>
        <color rgb="FFFFEF9C"/>
        <color rgb="FFFF7128"/>
      </colorScale>
    </cfRule>
    <cfRule type="containsBlanks" dxfId="104" priority="93">
      <formula>LEN(TRIM(H14))=0</formula>
    </cfRule>
  </conditionalFormatting>
  <conditionalFormatting sqref="H14:I14">
    <cfRule type="colorScale" priority="91">
      <colorScale>
        <cfvo type="min"/>
        <cfvo type="max"/>
        <color rgb="FFFFEF9C"/>
        <color rgb="FFFF7128"/>
      </colorScale>
    </cfRule>
  </conditionalFormatting>
  <conditionalFormatting sqref="H14:I14">
    <cfRule type="colorScale" priority="90">
      <colorScale>
        <cfvo type="min"/>
        <cfvo type="max"/>
        <color rgb="FFFFEF9C"/>
        <color rgb="FFFF7128"/>
      </colorScale>
    </cfRule>
  </conditionalFormatting>
  <conditionalFormatting sqref="J14">
    <cfRule type="colorScale" priority="88">
      <colorScale>
        <cfvo type="min"/>
        <cfvo type="max"/>
        <color rgb="FFFFEF9C"/>
        <color rgb="FFFF7128"/>
      </colorScale>
    </cfRule>
    <cfRule type="containsBlanks" dxfId="103" priority="89">
      <formula>LEN(TRIM(J14))=0</formula>
    </cfRule>
  </conditionalFormatting>
  <conditionalFormatting sqref="J14:K14">
    <cfRule type="colorScale" priority="87">
      <colorScale>
        <cfvo type="min"/>
        <cfvo type="max"/>
        <color rgb="FFFFEF9C"/>
        <color rgb="FFFF7128"/>
      </colorScale>
    </cfRule>
  </conditionalFormatting>
  <conditionalFormatting sqref="J14:K14">
    <cfRule type="colorScale" priority="86">
      <colorScale>
        <cfvo type="min"/>
        <cfvo type="max"/>
        <color rgb="FFFFEF9C"/>
        <color rgb="FFFF7128"/>
      </colorScale>
    </cfRule>
  </conditionalFormatting>
  <conditionalFormatting sqref="P14">
    <cfRule type="colorScale" priority="84">
      <colorScale>
        <cfvo type="min"/>
        <cfvo type="max"/>
        <color rgb="FFFFEF9C"/>
        <color rgb="FFFF7128"/>
      </colorScale>
    </cfRule>
    <cfRule type="containsBlanks" dxfId="102" priority="85">
      <formula>LEN(TRIM(P14))=0</formula>
    </cfRule>
  </conditionalFormatting>
  <conditionalFormatting sqref="P14:Q14">
    <cfRule type="colorScale" priority="83">
      <colorScale>
        <cfvo type="min"/>
        <cfvo type="max"/>
        <color rgb="FFFFEF9C"/>
        <color rgb="FFFF7128"/>
      </colorScale>
    </cfRule>
  </conditionalFormatting>
  <conditionalFormatting sqref="P14:Q14">
    <cfRule type="colorScale" priority="82">
      <colorScale>
        <cfvo type="min"/>
        <cfvo type="max"/>
        <color rgb="FFFFEF9C"/>
        <color rgb="FFFF7128"/>
      </colorScale>
    </cfRule>
  </conditionalFormatting>
  <conditionalFormatting sqref="T14">
    <cfRule type="colorScale" priority="80">
      <colorScale>
        <cfvo type="min"/>
        <cfvo type="max"/>
        <color rgb="FFFFEF9C"/>
        <color rgb="FFFF7128"/>
      </colorScale>
    </cfRule>
    <cfRule type="containsBlanks" dxfId="101" priority="81">
      <formula>LEN(TRIM(T14))=0</formula>
    </cfRule>
  </conditionalFormatting>
  <conditionalFormatting sqref="T14:U14">
    <cfRule type="colorScale" priority="79">
      <colorScale>
        <cfvo type="min"/>
        <cfvo type="max"/>
        <color rgb="FFFFEF9C"/>
        <color rgb="FFFF7128"/>
      </colorScale>
    </cfRule>
  </conditionalFormatting>
  <conditionalFormatting sqref="T14:U14">
    <cfRule type="colorScale" priority="78">
      <colorScale>
        <cfvo type="min"/>
        <cfvo type="max"/>
        <color rgb="FFFFEF9C"/>
        <color rgb="FFFF7128"/>
      </colorScale>
    </cfRule>
  </conditionalFormatting>
  <conditionalFormatting sqref="R14">
    <cfRule type="colorScale" priority="76">
      <colorScale>
        <cfvo type="min"/>
        <cfvo type="max"/>
        <color rgb="FFFFEF9C"/>
        <color rgb="FFFF7128"/>
      </colorScale>
    </cfRule>
    <cfRule type="containsBlanks" dxfId="100" priority="77">
      <formula>LEN(TRIM(R14))=0</formula>
    </cfRule>
  </conditionalFormatting>
  <conditionalFormatting sqref="R14:S14">
    <cfRule type="colorScale" priority="75">
      <colorScale>
        <cfvo type="min"/>
        <cfvo type="max"/>
        <color rgb="FFFFEF9C"/>
        <color rgb="FFFF7128"/>
      </colorScale>
    </cfRule>
  </conditionalFormatting>
  <conditionalFormatting sqref="R14:S14">
    <cfRule type="colorScale" priority="74">
      <colorScale>
        <cfvo type="min"/>
        <cfvo type="max"/>
        <color rgb="FFFFEF9C"/>
        <color rgb="FFFF7128"/>
      </colorScale>
    </cfRule>
  </conditionalFormatting>
  <conditionalFormatting sqref="F14:U14">
    <cfRule type="colorScale" priority="73">
      <colorScale>
        <cfvo type="min"/>
        <cfvo type="max"/>
        <color rgb="FFFFEF9C"/>
        <color rgb="FFFF7128"/>
      </colorScale>
    </cfRule>
    <cfRule type="colorScale" priority="106">
      <colorScale>
        <cfvo type="min"/>
        <cfvo type="max"/>
        <color rgb="FFFFEF9C"/>
        <color rgb="FFFF7128"/>
      </colorScale>
    </cfRule>
    <cfRule type="colorScale" priority="107">
      <colorScale>
        <cfvo type="min"/>
        <cfvo type="max"/>
        <color rgb="FFFF7128"/>
        <color rgb="FFFFEF9C"/>
      </colorScale>
    </cfRule>
    <cfRule type="colorScale" priority="108">
      <colorScale>
        <cfvo type="min"/>
        <cfvo type="max"/>
        <color rgb="FFFFEF9C"/>
        <color rgb="FFFF7128"/>
      </colorScale>
    </cfRule>
  </conditionalFormatting>
  <conditionalFormatting sqref="F16">
    <cfRule type="colorScale" priority="68">
      <colorScale>
        <cfvo type="min"/>
        <cfvo type="max"/>
        <color rgb="FFFFEF9C"/>
        <color rgb="FFFF7128"/>
      </colorScale>
    </cfRule>
    <cfRule type="containsBlanks" dxfId="99" priority="69">
      <formula>LEN(TRIM(F16))=0</formula>
    </cfRule>
  </conditionalFormatting>
  <conditionalFormatting sqref="F16:G16">
    <cfRule type="colorScale" priority="67">
      <colorScale>
        <cfvo type="min"/>
        <cfvo type="max"/>
        <color rgb="FFFFEF9C"/>
        <color rgb="FFFF7128"/>
      </colorScale>
    </cfRule>
  </conditionalFormatting>
  <conditionalFormatting sqref="F16:G16">
    <cfRule type="colorScale" priority="66">
      <colorScale>
        <cfvo type="min"/>
        <cfvo type="max"/>
        <color rgb="FFFFEF9C"/>
        <color rgb="FFFF7128"/>
      </colorScale>
    </cfRule>
  </conditionalFormatting>
  <conditionalFormatting sqref="N16">
    <cfRule type="colorScale" priority="64">
      <colorScale>
        <cfvo type="min"/>
        <cfvo type="max"/>
        <color rgb="FFFFEF9C"/>
        <color rgb="FFFF7128"/>
      </colorScale>
    </cfRule>
    <cfRule type="containsBlanks" dxfId="98" priority="65">
      <formula>LEN(TRIM(N16))=0</formula>
    </cfRule>
  </conditionalFormatting>
  <conditionalFormatting sqref="N16:O16">
    <cfRule type="colorScale" priority="63">
      <colorScale>
        <cfvo type="min"/>
        <cfvo type="max"/>
        <color rgb="FFFFEF9C"/>
        <color rgb="FFFF7128"/>
      </colorScale>
    </cfRule>
  </conditionalFormatting>
  <conditionalFormatting sqref="N16:O16">
    <cfRule type="colorScale" priority="62">
      <colorScale>
        <cfvo type="min"/>
        <cfvo type="max"/>
        <color rgb="FFFFEF9C"/>
        <color rgb="FFFF7128"/>
      </colorScale>
    </cfRule>
  </conditionalFormatting>
  <conditionalFormatting sqref="L16">
    <cfRule type="colorScale" priority="60">
      <colorScale>
        <cfvo type="min"/>
        <cfvo type="max"/>
        <color rgb="FFFFEF9C"/>
        <color rgb="FFFF7128"/>
      </colorScale>
    </cfRule>
    <cfRule type="containsBlanks" dxfId="97" priority="61">
      <formula>LEN(TRIM(L16))=0</formula>
    </cfRule>
  </conditionalFormatting>
  <conditionalFormatting sqref="L16:M16">
    <cfRule type="colorScale" priority="59">
      <colorScale>
        <cfvo type="min"/>
        <cfvo type="max"/>
        <color rgb="FFFFEF9C"/>
        <color rgb="FFFF7128"/>
      </colorScale>
    </cfRule>
  </conditionalFormatting>
  <conditionalFormatting sqref="L16:M16">
    <cfRule type="colorScale" priority="58">
      <colorScale>
        <cfvo type="min"/>
        <cfvo type="max"/>
        <color rgb="FFFFEF9C"/>
        <color rgb="FFFF7128"/>
      </colorScale>
    </cfRule>
  </conditionalFormatting>
  <conditionalFormatting sqref="H16">
    <cfRule type="colorScale" priority="56">
      <colorScale>
        <cfvo type="min"/>
        <cfvo type="max"/>
        <color rgb="FFFFEF9C"/>
        <color rgb="FFFF7128"/>
      </colorScale>
    </cfRule>
    <cfRule type="containsBlanks" dxfId="96" priority="57">
      <formula>LEN(TRIM(H16))=0</formula>
    </cfRule>
  </conditionalFormatting>
  <conditionalFormatting sqref="H16:I16">
    <cfRule type="colorScale" priority="55">
      <colorScale>
        <cfvo type="min"/>
        <cfvo type="max"/>
        <color rgb="FFFFEF9C"/>
        <color rgb="FFFF7128"/>
      </colorScale>
    </cfRule>
  </conditionalFormatting>
  <conditionalFormatting sqref="H16:I16">
    <cfRule type="colorScale" priority="54">
      <colorScale>
        <cfvo type="min"/>
        <cfvo type="max"/>
        <color rgb="FFFFEF9C"/>
        <color rgb="FFFF7128"/>
      </colorScale>
    </cfRule>
  </conditionalFormatting>
  <conditionalFormatting sqref="J16">
    <cfRule type="colorScale" priority="52">
      <colorScale>
        <cfvo type="min"/>
        <cfvo type="max"/>
        <color rgb="FFFFEF9C"/>
        <color rgb="FFFF7128"/>
      </colorScale>
    </cfRule>
    <cfRule type="containsBlanks" dxfId="95" priority="53">
      <formula>LEN(TRIM(J16))=0</formula>
    </cfRule>
  </conditionalFormatting>
  <conditionalFormatting sqref="J16:K16">
    <cfRule type="colorScale" priority="51">
      <colorScale>
        <cfvo type="min"/>
        <cfvo type="max"/>
        <color rgb="FFFFEF9C"/>
        <color rgb="FFFF7128"/>
      </colorScale>
    </cfRule>
  </conditionalFormatting>
  <conditionalFormatting sqref="J16:K16">
    <cfRule type="colorScale" priority="50">
      <colorScale>
        <cfvo type="min"/>
        <cfvo type="max"/>
        <color rgb="FFFFEF9C"/>
        <color rgb="FFFF7128"/>
      </colorScale>
    </cfRule>
  </conditionalFormatting>
  <conditionalFormatting sqref="P16">
    <cfRule type="colorScale" priority="48">
      <colorScale>
        <cfvo type="min"/>
        <cfvo type="max"/>
        <color rgb="FFFFEF9C"/>
        <color rgb="FFFF7128"/>
      </colorScale>
    </cfRule>
    <cfRule type="containsBlanks" dxfId="94" priority="49">
      <formula>LEN(TRIM(P16))=0</formula>
    </cfRule>
  </conditionalFormatting>
  <conditionalFormatting sqref="P16:Q16">
    <cfRule type="colorScale" priority="47">
      <colorScale>
        <cfvo type="min"/>
        <cfvo type="max"/>
        <color rgb="FFFFEF9C"/>
        <color rgb="FFFF7128"/>
      </colorScale>
    </cfRule>
  </conditionalFormatting>
  <conditionalFormatting sqref="P16:Q16">
    <cfRule type="colorScale" priority="46">
      <colorScale>
        <cfvo type="min"/>
        <cfvo type="max"/>
        <color rgb="FFFFEF9C"/>
        <color rgb="FFFF7128"/>
      </colorScale>
    </cfRule>
  </conditionalFormatting>
  <conditionalFormatting sqref="T16">
    <cfRule type="colorScale" priority="44">
      <colorScale>
        <cfvo type="min"/>
        <cfvo type="max"/>
        <color rgb="FFFFEF9C"/>
        <color rgb="FFFF7128"/>
      </colorScale>
    </cfRule>
    <cfRule type="containsBlanks" dxfId="93" priority="45">
      <formula>LEN(TRIM(T16))=0</formula>
    </cfRule>
  </conditionalFormatting>
  <conditionalFormatting sqref="T16:U16">
    <cfRule type="colorScale" priority="43">
      <colorScale>
        <cfvo type="min"/>
        <cfvo type="max"/>
        <color rgb="FFFFEF9C"/>
        <color rgb="FFFF7128"/>
      </colorScale>
    </cfRule>
  </conditionalFormatting>
  <conditionalFormatting sqref="T16:U16">
    <cfRule type="colorScale" priority="42">
      <colorScale>
        <cfvo type="min"/>
        <cfvo type="max"/>
        <color rgb="FFFFEF9C"/>
        <color rgb="FFFF7128"/>
      </colorScale>
    </cfRule>
  </conditionalFormatting>
  <conditionalFormatting sqref="R16">
    <cfRule type="colorScale" priority="40">
      <colorScale>
        <cfvo type="min"/>
        <cfvo type="max"/>
        <color rgb="FFFFEF9C"/>
        <color rgb="FFFF7128"/>
      </colorScale>
    </cfRule>
    <cfRule type="containsBlanks" dxfId="92" priority="41">
      <formula>LEN(TRIM(R16))=0</formula>
    </cfRule>
  </conditionalFormatting>
  <conditionalFormatting sqref="R16:S16">
    <cfRule type="colorScale" priority="39">
      <colorScale>
        <cfvo type="min"/>
        <cfvo type="max"/>
        <color rgb="FFFFEF9C"/>
        <color rgb="FFFF7128"/>
      </colorScale>
    </cfRule>
  </conditionalFormatting>
  <conditionalFormatting sqref="R16:S16">
    <cfRule type="colorScale" priority="38">
      <colorScale>
        <cfvo type="min"/>
        <cfvo type="max"/>
        <color rgb="FFFFEF9C"/>
        <color rgb="FFFF7128"/>
      </colorScale>
    </cfRule>
  </conditionalFormatting>
  <conditionalFormatting sqref="F16:U16">
    <cfRule type="colorScale" priority="37">
      <colorScale>
        <cfvo type="min"/>
        <cfvo type="max"/>
        <color rgb="FFFFEF9C"/>
        <color rgb="FFFF7128"/>
      </colorScale>
    </cfRule>
    <cfRule type="colorScale" priority="70">
      <colorScale>
        <cfvo type="min"/>
        <cfvo type="max"/>
        <color rgb="FFFFEF9C"/>
        <color rgb="FFFF7128"/>
      </colorScale>
    </cfRule>
    <cfRule type="colorScale" priority="71">
      <colorScale>
        <cfvo type="min"/>
        <cfvo type="max"/>
        <color rgb="FFFF7128"/>
        <color rgb="FFFFEF9C"/>
      </colorScale>
    </cfRule>
    <cfRule type="colorScale" priority="72">
      <colorScale>
        <cfvo type="min"/>
        <cfvo type="max"/>
        <color rgb="FFFFEF9C"/>
        <color rgb="FFFF7128"/>
      </colorScale>
    </cfRule>
  </conditionalFormatting>
  <conditionalFormatting sqref="F18">
    <cfRule type="colorScale" priority="32">
      <colorScale>
        <cfvo type="min"/>
        <cfvo type="max"/>
        <color rgb="FFFFEF9C"/>
        <color rgb="FFFF7128"/>
      </colorScale>
    </cfRule>
    <cfRule type="containsBlanks" dxfId="91" priority="33">
      <formula>LEN(TRIM(F18))=0</formula>
    </cfRule>
  </conditionalFormatting>
  <conditionalFormatting sqref="F18:G18">
    <cfRule type="colorScale" priority="31">
      <colorScale>
        <cfvo type="min"/>
        <cfvo type="max"/>
        <color rgb="FFFFEF9C"/>
        <color rgb="FFFF7128"/>
      </colorScale>
    </cfRule>
  </conditionalFormatting>
  <conditionalFormatting sqref="F18:G18">
    <cfRule type="colorScale" priority="30">
      <colorScale>
        <cfvo type="min"/>
        <cfvo type="max"/>
        <color rgb="FFFFEF9C"/>
        <color rgb="FFFF7128"/>
      </colorScale>
    </cfRule>
  </conditionalFormatting>
  <conditionalFormatting sqref="N18">
    <cfRule type="colorScale" priority="28">
      <colorScale>
        <cfvo type="min"/>
        <cfvo type="max"/>
        <color rgb="FFFFEF9C"/>
        <color rgb="FFFF7128"/>
      </colorScale>
    </cfRule>
    <cfRule type="containsBlanks" dxfId="90" priority="29">
      <formula>LEN(TRIM(N18))=0</formula>
    </cfRule>
  </conditionalFormatting>
  <conditionalFormatting sqref="N18:O18">
    <cfRule type="colorScale" priority="27">
      <colorScale>
        <cfvo type="min"/>
        <cfvo type="max"/>
        <color rgb="FFFFEF9C"/>
        <color rgb="FFFF7128"/>
      </colorScale>
    </cfRule>
  </conditionalFormatting>
  <conditionalFormatting sqref="N18:O18">
    <cfRule type="colorScale" priority="26">
      <colorScale>
        <cfvo type="min"/>
        <cfvo type="max"/>
        <color rgb="FFFFEF9C"/>
        <color rgb="FFFF7128"/>
      </colorScale>
    </cfRule>
  </conditionalFormatting>
  <conditionalFormatting sqref="L18">
    <cfRule type="colorScale" priority="24">
      <colorScale>
        <cfvo type="min"/>
        <cfvo type="max"/>
        <color rgb="FFFFEF9C"/>
        <color rgb="FFFF7128"/>
      </colorScale>
    </cfRule>
    <cfRule type="containsBlanks" dxfId="89" priority="25">
      <formula>LEN(TRIM(L18))=0</formula>
    </cfRule>
  </conditionalFormatting>
  <conditionalFormatting sqref="L18:M18">
    <cfRule type="colorScale" priority="23">
      <colorScale>
        <cfvo type="min"/>
        <cfvo type="max"/>
        <color rgb="FFFFEF9C"/>
        <color rgb="FFFF7128"/>
      </colorScale>
    </cfRule>
  </conditionalFormatting>
  <conditionalFormatting sqref="L18:M18">
    <cfRule type="colorScale" priority="22">
      <colorScale>
        <cfvo type="min"/>
        <cfvo type="max"/>
        <color rgb="FFFFEF9C"/>
        <color rgb="FFFF7128"/>
      </colorScale>
    </cfRule>
  </conditionalFormatting>
  <conditionalFormatting sqref="H18">
    <cfRule type="colorScale" priority="20">
      <colorScale>
        <cfvo type="min"/>
        <cfvo type="max"/>
        <color rgb="FFFFEF9C"/>
        <color rgb="FFFF7128"/>
      </colorScale>
    </cfRule>
    <cfRule type="containsBlanks" dxfId="88" priority="21">
      <formula>LEN(TRIM(H18))=0</formula>
    </cfRule>
  </conditionalFormatting>
  <conditionalFormatting sqref="H18:I18">
    <cfRule type="colorScale" priority="19">
      <colorScale>
        <cfvo type="min"/>
        <cfvo type="max"/>
        <color rgb="FFFFEF9C"/>
        <color rgb="FFFF7128"/>
      </colorScale>
    </cfRule>
  </conditionalFormatting>
  <conditionalFormatting sqref="H18:I18">
    <cfRule type="colorScale" priority="18">
      <colorScale>
        <cfvo type="min"/>
        <cfvo type="max"/>
        <color rgb="FFFFEF9C"/>
        <color rgb="FFFF7128"/>
      </colorScale>
    </cfRule>
  </conditionalFormatting>
  <conditionalFormatting sqref="J18">
    <cfRule type="colorScale" priority="16">
      <colorScale>
        <cfvo type="min"/>
        <cfvo type="max"/>
        <color rgb="FFFFEF9C"/>
        <color rgb="FFFF7128"/>
      </colorScale>
    </cfRule>
    <cfRule type="containsBlanks" dxfId="87" priority="17">
      <formula>LEN(TRIM(J18))=0</formula>
    </cfRule>
  </conditionalFormatting>
  <conditionalFormatting sqref="J18:K18">
    <cfRule type="colorScale" priority="15">
      <colorScale>
        <cfvo type="min"/>
        <cfvo type="max"/>
        <color rgb="FFFFEF9C"/>
        <color rgb="FFFF7128"/>
      </colorScale>
    </cfRule>
  </conditionalFormatting>
  <conditionalFormatting sqref="J18:K18">
    <cfRule type="colorScale" priority="14">
      <colorScale>
        <cfvo type="min"/>
        <cfvo type="max"/>
        <color rgb="FFFFEF9C"/>
        <color rgb="FFFF7128"/>
      </colorScale>
    </cfRule>
  </conditionalFormatting>
  <conditionalFormatting sqref="P18">
    <cfRule type="colorScale" priority="12">
      <colorScale>
        <cfvo type="min"/>
        <cfvo type="max"/>
        <color rgb="FFFFEF9C"/>
        <color rgb="FFFF7128"/>
      </colorScale>
    </cfRule>
    <cfRule type="containsBlanks" dxfId="86" priority="13">
      <formula>LEN(TRIM(P18))=0</formula>
    </cfRule>
  </conditionalFormatting>
  <conditionalFormatting sqref="P18:Q18">
    <cfRule type="colorScale" priority="11">
      <colorScale>
        <cfvo type="min"/>
        <cfvo type="max"/>
        <color rgb="FFFFEF9C"/>
        <color rgb="FFFF7128"/>
      </colorScale>
    </cfRule>
  </conditionalFormatting>
  <conditionalFormatting sqref="P18:Q18">
    <cfRule type="colorScale" priority="10">
      <colorScale>
        <cfvo type="min"/>
        <cfvo type="max"/>
        <color rgb="FFFFEF9C"/>
        <color rgb="FFFF7128"/>
      </colorScale>
    </cfRule>
  </conditionalFormatting>
  <conditionalFormatting sqref="T18">
    <cfRule type="colorScale" priority="8">
      <colorScale>
        <cfvo type="min"/>
        <cfvo type="max"/>
        <color rgb="FFFFEF9C"/>
        <color rgb="FFFF7128"/>
      </colorScale>
    </cfRule>
    <cfRule type="containsBlanks" dxfId="85" priority="9">
      <formula>LEN(TRIM(T18))=0</formula>
    </cfRule>
  </conditionalFormatting>
  <conditionalFormatting sqref="T18:U18">
    <cfRule type="colorScale" priority="7">
      <colorScale>
        <cfvo type="min"/>
        <cfvo type="max"/>
        <color rgb="FFFFEF9C"/>
        <color rgb="FFFF7128"/>
      </colorScale>
    </cfRule>
  </conditionalFormatting>
  <conditionalFormatting sqref="T18:U18">
    <cfRule type="colorScale" priority="6">
      <colorScale>
        <cfvo type="min"/>
        <cfvo type="max"/>
        <color rgb="FFFFEF9C"/>
        <color rgb="FFFF7128"/>
      </colorScale>
    </cfRule>
  </conditionalFormatting>
  <conditionalFormatting sqref="R18">
    <cfRule type="colorScale" priority="4">
      <colorScale>
        <cfvo type="min"/>
        <cfvo type="max"/>
        <color rgb="FFFFEF9C"/>
        <color rgb="FFFF7128"/>
      </colorScale>
    </cfRule>
    <cfRule type="containsBlanks" dxfId="84" priority="5">
      <formula>LEN(TRIM(R18))=0</formula>
    </cfRule>
  </conditionalFormatting>
  <conditionalFormatting sqref="R18:S18">
    <cfRule type="colorScale" priority="3">
      <colorScale>
        <cfvo type="min"/>
        <cfvo type="max"/>
        <color rgb="FFFFEF9C"/>
        <color rgb="FFFF7128"/>
      </colorScale>
    </cfRule>
  </conditionalFormatting>
  <conditionalFormatting sqref="R18:S18">
    <cfRule type="colorScale" priority="2">
      <colorScale>
        <cfvo type="min"/>
        <cfvo type="max"/>
        <color rgb="FFFFEF9C"/>
        <color rgb="FFFF7128"/>
      </colorScale>
    </cfRule>
  </conditionalFormatting>
  <conditionalFormatting sqref="F18:U18">
    <cfRule type="colorScale" priority="1">
      <colorScale>
        <cfvo type="min"/>
        <cfvo type="max"/>
        <color rgb="FFFFEF9C"/>
        <color rgb="FFFF7128"/>
      </colorScale>
    </cfRule>
    <cfRule type="colorScale" priority="34">
      <colorScale>
        <cfvo type="min"/>
        <cfvo type="max"/>
        <color rgb="FFFFEF9C"/>
        <color rgb="FFFF7128"/>
      </colorScale>
    </cfRule>
    <cfRule type="colorScale" priority="35">
      <colorScale>
        <cfvo type="min"/>
        <cfvo type="max"/>
        <color rgb="FFFF7128"/>
        <color rgb="FFFFEF9C"/>
      </colorScale>
    </cfRule>
    <cfRule type="colorScale" priority="36">
      <colorScale>
        <cfvo type="min"/>
        <cfvo type="max"/>
        <color rgb="FFFFEF9C"/>
        <color rgb="FFFF7128"/>
      </colorScale>
    </cfRule>
  </conditionalFormatting>
  <hyperlinks>
    <hyperlink ref="B16" location="Contents!A1" display="Contents"/>
  </hyperlinks>
  <pageMargins left="0.7" right="0.7" top="0.75" bottom="0.75" header="0.3" footer="0.3"/>
  <pageSetup paperSize="9" orientation="portrait" r:id="rId1"/>
  <ignoredErrors>
    <ignoredError sqref="F9:G19 P9:Q19 H9:O19 R9:U1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193" r:id="rId4" name="List Box 1">
              <controlPr defaultSize="0" autoLine="0" autoPict="0">
                <anchor moveWithCells="1">
                  <from>
                    <xdr:col>1</xdr:col>
                    <xdr:colOff>9525</xdr:colOff>
                    <xdr:row>5</xdr:row>
                    <xdr:rowOff>9525</xdr:rowOff>
                  </from>
                  <to>
                    <xdr:col>2</xdr:col>
                    <xdr:colOff>19050</xdr:colOff>
                    <xdr:row>5</xdr:row>
                    <xdr:rowOff>838200</xdr:rowOff>
                  </to>
                </anchor>
              </controlPr>
            </control>
          </mc:Choice>
        </mc:AlternateContent>
        <mc:AlternateContent xmlns:mc="http://schemas.openxmlformats.org/markup-compatibility/2006">
          <mc:Choice Requires="x14">
            <control shapeId="8194" r:id="rId5" name="List Box 2">
              <controlPr defaultSize="0" autoLine="0" autoPict="0">
                <anchor moveWithCells="1">
                  <from>
                    <xdr:col>0</xdr:col>
                    <xdr:colOff>76200</xdr:colOff>
                    <xdr:row>8</xdr:row>
                    <xdr:rowOff>85725</xdr:rowOff>
                  </from>
                  <to>
                    <xdr:col>2</xdr:col>
                    <xdr:colOff>9525</xdr:colOff>
                    <xdr:row>13</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9E49"/>
  </sheetPr>
  <dimension ref="A1:AX62"/>
  <sheetViews>
    <sheetView workbookViewId="0">
      <selection activeCell="B2" sqref="B2:B4"/>
    </sheetView>
  </sheetViews>
  <sheetFormatPr defaultRowHeight="15" x14ac:dyDescent="0.25"/>
  <cols>
    <col min="1" max="1" width="1.42578125" style="3" customWidth="1"/>
    <col min="2" max="2" width="20.140625" style="3" customWidth="1"/>
    <col min="3" max="3" width="1.42578125" style="3" customWidth="1"/>
    <col min="4" max="4" width="8.42578125" style="3" customWidth="1"/>
    <col min="5" max="5" width="16.28515625" style="3" customWidth="1"/>
    <col min="6" max="21" width="4.5703125" style="3" customWidth="1"/>
    <col min="22" max="22" width="0" style="3" hidden="1" customWidth="1"/>
    <col min="23" max="23" width="9.140625" style="3"/>
    <col min="24" max="24" width="12.7109375" style="3" customWidth="1"/>
    <col min="25" max="36" width="0.140625" style="3" customWidth="1"/>
    <col min="37" max="37" width="12.7109375" style="3" customWidth="1"/>
    <col min="38" max="16384" width="9.140625" style="3"/>
  </cols>
  <sheetData>
    <row r="1" spans="1:50" ht="15.75" thickBot="1" x14ac:dyDescent="0.3">
      <c r="D1" s="4"/>
      <c r="V1" s="5"/>
      <c r="W1" s="5"/>
    </row>
    <row r="2" spans="1:50" ht="15" customHeight="1" thickBot="1" x14ac:dyDescent="0.3">
      <c r="B2" s="88" t="s">
        <v>94</v>
      </c>
      <c r="D2" s="116" t="str">
        <f>IF(F8="", D6&amp;" is not covered by a screening programme, please select a different site or Route", "Percentage of diagnoses by selected Route and treatment modality - by stage, 2013-2015, England")</f>
        <v>Percentage of diagnoses by selected Route and treatment modality - by stage, 2013-2015, England</v>
      </c>
      <c r="E2" s="117"/>
      <c r="F2" s="117"/>
      <c r="G2" s="117"/>
      <c r="H2" s="117"/>
      <c r="I2" s="117"/>
      <c r="J2" s="117"/>
      <c r="K2" s="117"/>
      <c r="L2" s="117"/>
      <c r="M2" s="117"/>
      <c r="N2" s="117"/>
      <c r="O2" s="117"/>
      <c r="P2" s="117"/>
      <c r="Q2" s="117"/>
      <c r="R2" s="117"/>
      <c r="S2" s="117"/>
      <c r="T2" s="117"/>
      <c r="U2" s="117"/>
      <c r="V2" s="117"/>
      <c r="W2" s="118"/>
      <c r="AK2" s="111" t="s">
        <v>126</v>
      </c>
      <c r="AL2" s="112"/>
      <c r="AM2" s="112"/>
      <c r="AN2" s="112"/>
      <c r="AO2" s="112"/>
      <c r="AP2" s="112"/>
      <c r="AQ2" s="112"/>
      <c r="AR2" s="112"/>
      <c r="AS2" s="112"/>
      <c r="AT2" s="112"/>
      <c r="AU2" s="112"/>
      <c r="AV2" s="112"/>
      <c r="AW2" s="112"/>
      <c r="AX2" s="113"/>
    </row>
    <row r="3" spans="1:50" ht="15" customHeight="1" x14ac:dyDescent="0.25">
      <c r="B3" s="89"/>
      <c r="D3" s="119"/>
      <c r="E3" s="120"/>
      <c r="F3" s="120"/>
      <c r="G3" s="120"/>
      <c r="H3" s="120"/>
      <c r="I3" s="120"/>
      <c r="J3" s="120"/>
      <c r="K3" s="120"/>
      <c r="L3" s="120"/>
      <c r="M3" s="120"/>
      <c r="N3" s="120"/>
      <c r="O3" s="120"/>
      <c r="P3" s="120"/>
      <c r="Q3" s="120"/>
      <c r="R3" s="120"/>
      <c r="S3" s="120"/>
      <c r="T3" s="120"/>
      <c r="U3" s="120"/>
      <c r="V3" s="120"/>
      <c r="W3" s="121"/>
    </row>
    <row r="4" spans="1:50" ht="15.75" customHeight="1" thickBot="1" x14ac:dyDescent="0.3">
      <c r="B4" s="90"/>
      <c r="D4" s="122"/>
      <c r="E4" s="123"/>
      <c r="F4" s="123"/>
      <c r="G4" s="123"/>
      <c r="H4" s="123"/>
      <c r="I4" s="123"/>
      <c r="J4" s="123"/>
      <c r="K4" s="123"/>
      <c r="L4" s="123"/>
      <c r="M4" s="123"/>
      <c r="N4" s="123"/>
      <c r="O4" s="123"/>
      <c r="P4" s="123"/>
      <c r="Q4" s="123"/>
      <c r="R4" s="123"/>
      <c r="S4" s="123"/>
      <c r="T4" s="123"/>
      <c r="U4" s="123"/>
      <c r="V4" s="123"/>
      <c r="W4" s="124"/>
    </row>
    <row r="5" spans="1:50" ht="15.75" thickBot="1" x14ac:dyDescent="0.3">
      <c r="D5" s="4"/>
      <c r="V5" s="5"/>
      <c r="W5" s="5"/>
      <c r="Y5" s="62"/>
      <c r="Z5" s="62"/>
      <c r="AA5" s="62"/>
      <c r="AB5" s="62"/>
      <c r="AC5" s="62"/>
      <c r="AD5" s="62"/>
      <c r="AE5" s="62"/>
      <c r="AF5" s="62"/>
      <c r="AG5" s="62"/>
      <c r="AH5" s="62"/>
      <c r="AI5" s="62"/>
      <c r="AJ5" s="62"/>
      <c r="AK5" s="62"/>
    </row>
    <row r="6" spans="1:50" ht="87.75" customHeight="1" thickBot="1" x14ac:dyDescent="0.3">
      <c r="A6" s="6"/>
      <c r="B6" s="6"/>
      <c r="C6" s="6"/>
      <c r="D6" s="100" t="str">
        <f>Lookups!A10</f>
        <v>Breast</v>
      </c>
      <c r="E6" s="101"/>
      <c r="F6" s="102" t="s">
        <v>22</v>
      </c>
      <c r="G6" s="103"/>
      <c r="H6" s="103" t="s">
        <v>25</v>
      </c>
      <c r="I6" s="103"/>
      <c r="J6" s="103" t="s">
        <v>26</v>
      </c>
      <c r="K6" s="103"/>
      <c r="L6" s="103" t="s">
        <v>24</v>
      </c>
      <c r="M6" s="103"/>
      <c r="N6" s="103" t="s">
        <v>23</v>
      </c>
      <c r="O6" s="103"/>
      <c r="P6" s="103" t="s">
        <v>27</v>
      </c>
      <c r="Q6" s="103"/>
      <c r="R6" s="103" t="s">
        <v>118</v>
      </c>
      <c r="S6" s="103"/>
      <c r="T6" s="103" t="s">
        <v>28</v>
      </c>
      <c r="U6" s="103"/>
      <c r="V6" s="16" t="s">
        <v>5</v>
      </c>
      <c r="W6" s="16" t="s">
        <v>110</v>
      </c>
      <c r="Y6" s="25" t="s">
        <v>41</v>
      </c>
      <c r="Z6" s="25" t="s">
        <v>44</v>
      </c>
      <c r="AA6" s="25"/>
      <c r="AB6" s="25" t="s">
        <v>37</v>
      </c>
      <c r="AC6" s="19" t="s">
        <v>22</v>
      </c>
      <c r="AD6" s="19" t="s">
        <v>23</v>
      </c>
      <c r="AE6" s="19" t="s">
        <v>24</v>
      </c>
      <c r="AF6" s="19" t="s">
        <v>25</v>
      </c>
      <c r="AG6" s="19" t="s">
        <v>26</v>
      </c>
      <c r="AH6" s="19" t="s">
        <v>27</v>
      </c>
      <c r="AI6" s="19" t="s">
        <v>28</v>
      </c>
      <c r="AJ6" s="19" t="s">
        <v>117</v>
      </c>
      <c r="AK6" s="62"/>
    </row>
    <row r="7" spans="1:50" ht="15.75" customHeight="1" thickBot="1" x14ac:dyDescent="0.3">
      <c r="B7" s="114" t="s">
        <v>119</v>
      </c>
      <c r="D7" s="4"/>
      <c r="V7" s="5"/>
      <c r="W7" s="5"/>
      <c r="Y7" s="25" t="str">
        <f>Lookups!A10</f>
        <v>Breast</v>
      </c>
      <c r="Z7" s="25" t="s">
        <v>38</v>
      </c>
      <c r="AA7" s="33" t="s">
        <v>38</v>
      </c>
      <c r="AB7" s="25" t="s">
        <v>0</v>
      </c>
      <c r="AC7" s="20">
        <f>IF(OR(ISERROR(VLOOKUP($Y$7&amp;$AB7&amp;$Z7,'Stage data'!$A$3:$AE$128,5,FALSE)),ISBLANK(VLOOKUP($Y$7&amp;$AB7&amp;$Z7,'Stage data'!$A$3:$AE$128,5,FALSE))),"",VLOOKUP($Y$7&amp;$AB7&amp;$Z7,'Stage data'!$A$3:$AE$128,5,FALSE))</f>
        <v>0.14896632210736913</v>
      </c>
      <c r="AD7" s="20">
        <f>IF(OR(ISERROR(VLOOKUP($Y$7&amp;$AB7&amp;$Z7,'Stage data'!$A$3:$AE$128,6,FALSE)),ISBLANK(VLOOKUP($Y$7&amp;$AB7&amp;$Z7,'Stage data'!$A$3:$AE$128,6,FALSE))),"",VLOOKUP($Y$7&amp;$AB7&amp;$Z7,'Stage data'!$A$3:$AE$128,6,FALSE))</f>
        <v>1.0281204846059797E-3</v>
      </c>
      <c r="AE7" s="20">
        <f>IF(OR(ISERROR(VLOOKUP($Y$7&amp;$AB7&amp;$Z7,'Stage data'!$A$3:$AE$128,7,FALSE)),ISBLANK(VLOOKUP($Y$7&amp;$AB7&amp;$Z7,'Stage data'!$A$3:$AE$128,7,FALSE))),"",VLOOKUP($Y$7&amp;$AB7&amp;$Z7,'Stage data'!$A$3:$AE$128,7,FALSE))</f>
        <v>8.1138157163498942E-3</v>
      </c>
      <c r="AF7" s="20">
        <f>IF(OR(ISERROR(VLOOKUP($Y$7&amp;$AB7&amp;$Z7,'Stage data'!$A$3:$AE$128,8,FALSE)),ISBLANK(VLOOKUP($Y$7&amp;$AB7&amp;$Z7,'Stage data'!$A$3:$AE$128,8,FALSE))),"",VLOOKUP($Y$7&amp;$AB7&amp;$Z7,'Stage data'!$A$3:$AE$128,8,FALSE))</f>
        <v>3.6790041124819386E-2</v>
      </c>
      <c r="AG7" s="20">
        <f>IF(OR(ISERROR(VLOOKUP($Y$7&amp;$AB7&amp;$Z7,'Stage data'!$A$3:$AE$128,9,FALSE)),ISBLANK(VLOOKUP($Y$7&amp;$AB7&amp;$Z7,'Stage data'!$A$3:$AE$128,9,FALSE))),"",VLOOKUP($Y$7&amp;$AB7&amp;$Z7,'Stage data'!$A$3:$AE$128,9,FALSE))</f>
        <v>0.62443036567744803</v>
      </c>
      <c r="AH7" s="20">
        <f>IF(OR(ISERROR(VLOOKUP($Y$7&amp;$AB7&amp;$Z7,'Stage data'!$A$3:$AE$128,10,FALSE)),ISBLANK(VLOOKUP($Y$7&amp;$AB7&amp;$Z7,'Stage data'!$A$3:$AE$128,10,FALSE))),"",VLOOKUP($Y$7&amp;$AB7&amp;$Z7,'Stage data'!$A$3:$AE$128,10,FALSE))</f>
        <v>2.5008336112037344E-3</v>
      </c>
      <c r="AI7" s="20">
        <f>IF(OR(ISERROR(VLOOKUP($Y$7&amp;$AB7&amp;$Z7,'Stage data'!$A$3:$AE$128,11,FALSE)),ISBLANK(VLOOKUP($Y$7&amp;$AB7&amp;$Z7,'Stage data'!$A$3:$AE$128,11,FALSE))),"",VLOOKUP($Y$7&amp;$AB7&amp;$Z7,'Stage data'!$A$3:$AE$128,11,FALSE))</f>
        <v>1.0920306768922975E-2</v>
      </c>
      <c r="AJ7" s="20">
        <f>IF(OR(ISERROR(VLOOKUP($Y$7&amp;$AB7&amp;$Z7,'Stage data'!$A$3:$AE$128,12,FALSE)),ISBLANK(VLOOKUP($Y$7&amp;$AB7&amp;$Z7,'Stage data'!$A$3:$AE$128,12,FALSE))),"",VLOOKUP($Y$7&amp;$AB7&amp;$Z7,'Stage data'!$A$3:$AE$128,12,FALSE))</f>
        <v>0.16725019450928086</v>
      </c>
      <c r="AK7" s="62"/>
    </row>
    <row r="8" spans="1:50" ht="15.75" customHeight="1" thickBot="1" x14ac:dyDescent="0.3">
      <c r="A8" s="7"/>
      <c r="B8" s="115"/>
      <c r="C8" s="7"/>
      <c r="D8" s="126" t="str">
        <f>Lookups!C11</f>
        <v>Screen detected</v>
      </c>
      <c r="E8" s="8" t="s">
        <v>38</v>
      </c>
      <c r="F8" s="85">
        <f>IF(OR(ISERROR(VLOOKUP($D$6&amp;$D$8&amp;$E8,'Stage data'!$A$3:$AE$128,5,FALSE)),ISBLANK(VLOOKUP($D$6&amp;$D$8&amp;$E8,'Stage data'!$A$3:$AE$128,5,FALSE))),"",VLOOKUP($D$6&amp;$D$8&amp;$E8,'Stage data'!$A$3:$AE$128,5,FALSE))</f>
        <v>0.14896632210736913</v>
      </c>
      <c r="G8" s="85"/>
      <c r="H8" s="85">
        <f>IF(OR(ISERROR(VLOOKUP($D$6&amp;$D$8&amp;$E8,'Stage data'!$A$3:$AE$128,8,FALSE)),ISBLANK(VLOOKUP($D$6&amp;$D$8&amp;$E8,'Stage data'!$A$3:$AE$128,8,FALSE))),"",VLOOKUP($D$6&amp;$D$8&amp;$E8,'Stage data'!$A$3:$AE$128,8,FALSE))</f>
        <v>3.6790041124819386E-2</v>
      </c>
      <c r="I8" s="85"/>
      <c r="J8" s="85">
        <f>IF(OR(ISERROR(VLOOKUP($D$6&amp;$D$8&amp;$E8,'Stage data'!$A$3:$AE$128,9,FALSE)),ISBLANK(VLOOKUP($D$6&amp;$D$8&amp;$E8,'Stage data'!$A$3:$AE$128,9,FALSE))),"",VLOOKUP($D$6&amp;$D$8&amp;$E8,'Stage data'!$A$3:$AE$128,9,FALSE))</f>
        <v>0.62443036567744803</v>
      </c>
      <c r="K8" s="85"/>
      <c r="L8" s="85">
        <f>IF(OR(ISERROR(VLOOKUP($D$6&amp;$D$8&amp;$E8,'Stage data'!$A$3:$AE$128,7,FALSE)),ISBLANK(VLOOKUP($D$6&amp;$D$8&amp;$E8,'Stage data'!$A$3:$AE$128,7,FALSE))),"",VLOOKUP($D$6&amp;$D$8&amp;$E8,'Stage data'!$A$3:$AE$128,7,FALSE))</f>
        <v>8.1138157163498942E-3</v>
      </c>
      <c r="M8" s="85"/>
      <c r="N8" s="85">
        <f>IF(OR(ISERROR(VLOOKUP($D$6&amp;$D$8&amp;$E8,'Stage data'!$A$3:$AE$128,6,FALSE)),ISBLANK(VLOOKUP($D$6&amp;$D$8&amp;$E8,'Stage data'!$A$3:$AE$128,6,FALSE))),"",VLOOKUP($D$6&amp;$D$8&amp;$E8,'Stage data'!$A$3:$AE$128,6,FALSE))</f>
        <v>1.0281204846059797E-3</v>
      </c>
      <c r="O8" s="85"/>
      <c r="P8" s="85">
        <f>IF(OR(ISERROR(VLOOKUP($D$6&amp;$D$8&amp;$E8,'Stage data'!$A$3:$AE$128,10,FALSE)),ISBLANK(VLOOKUP($D$6&amp;$D$8&amp;$E8,'Stage data'!$A$3:$AE$128,10,FALSE))),"",VLOOKUP($D$6&amp;$D$8&amp;$E8,'Stage data'!$A$3:$AE$128,10,FALSE))</f>
        <v>2.5008336112037344E-3</v>
      </c>
      <c r="Q8" s="85"/>
      <c r="R8" s="85">
        <f>IF(OR(ISERROR(VLOOKUP($D$6&amp;$D$8&amp;$E8,'Stage data'!$A$3:$AE$128,12,FALSE)),ISBLANK(VLOOKUP($D$6&amp;$D$8&amp;$E8,'Stage data'!$A$3:$AE$128,12,FALSE))),"",VLOOKUP($D$6&amp;$D$8&amp;$E8,'Stage data'!$A$3:$AE$128,12,FALSE))</f>
        <v>0.16725019450928086</v>
      </c>
      <c r="S8" s="85"/>
      <c r="T8" s="85">
        <f>IF(OR(ISERROR(VLOOKUP($D$6&amp;$D$8&amp;$E8,'Stage data'!$A$3:$AE$128,11,FALSE)),ISBLANK(VLOOKUP($D$6&amp;$D$8&amp;$E8,'Stage data'!$A$3:$AE$128,11,FALSE))),"",VLOOKUP($D$6&amp;$D$8&amp;$E8,'Stage data'!$A$3:$AE$128,11,FALSE))</f>
        <v>1.0920306768922975E-2</v>
      </c>
      <c r="U8" s="85"/>
      <c r="V8" s="86">
        <f>SUM(F8,N8,L8,H8,J8,P8,T8,R8)</f>
        <v>1</v>
      </c>
      <c r="W8" s="83">
        <f>IF(OR(ISERROR(VLOOKUP($D$6&amp;$D$8&amp;$E8,'Stage data'!$A$3:$AE$128,14,FALSE)),ISBLANK(VLOOKUP($D$6&amp;$D$8&amp;$E8,'Stage data'!$A$3:$AE$128,14,FALSE))),"",VLOOKUP($D$6&amp;$D$8&amp;$E8,'Stage data'!$A$3:$AE$128,14,FALSE))</f>
        <v>35988</v>
      </c>
      <c r="Y8" s="25"/>
      <c r="Z8" s="25" t="s">
        <v>38</v>
      </c>
      <c r="AA8" s="33"/>
      <c r="AB8" s="25" t="s">
        <v>1</v>
      </c>
      <c r="AC8" s="20">
        <f>IF(OR(ISERROR(VLOOKUP($Y$7&amp;$AB8&amp;$Z8,'Stage data'!$A$3:$AE$128,5,FALSE)),ISBLANK(VLOOKUP($Y$7&amp;$AB8&amp;$Z8,'Stage data'!$A$3:$AE$128,5,FALSE))),"",VLOOKUP($Y$7&amp;$AB8&amp;$Z8,'Stage data'!$A$3:$AE$128,5,FALSE))</f>
        <v>0.18110538120890285</v>
      </c>
      <c r="AD8" s="20">
        <f>IF(OR(ISERROR(VLOOKUP($Y$7&amp;$AB8&amp;$Z8,'Stage data'!$A$3:$AE$128,6,FALSE)),ISBLANK(VLOOKUP($Y$7&amp;$AB8&amp;$Z8,'Stage data'!$A$3:$AE$128,6,FALSE))),"",VLOOKUP($Y$7&amp;$AB8&amp;$Z8,'Stage data'!$A$3:$AE$128,6,FALSE))</f>
        <v>4.4284262791633913E-3</v>
      </c>
      <c r="AE8" s="20">
        <f>IF(OR(ISERROR(VLOOKUP($Y$7&amp;$AB8&amp;$Z8,'Stage data'!$A$3:$AE$128,7,FALSE)),ISBLANK(VLOOKUP($Y$7&amp;$AB8&amp;$Z8,'Stage data'!$A$3:$AE$128,7,FALSE))),"",VLOOKUP($Y$7&amp;$AB8&amp;$Z8,'Stage data'!$A$3:$AE$128,7,FALSE))</f>
        <v>5.2527653700899105E-3</v>
      </c>
      <c r="AF8" s="20">
        <f>IF(OR(ISERROR(VLOOKUP($Y$7&amp;$AB8&amp;$Z8,'Stage data'!$A$3:$AE$128,8,FALSE)),ISBLANK(VLOOKUP($Y$7&amp;$AB8&amp;$Z8,'Stage data'!$A$3:$AE$128,8,FALSE))),"",VLOOKUP($Y$7&amp;$AB8&amp;$Z8,'Stage data'!$A$3:$AE$128,8,FALSE))</f>
        <v>7.7947970783888959E-2</v>
      </c>
      <c r="AG8" s="20">
        <f>IF(OR(ISERROR(VLOOKUP($Y$7&amp;$AB8&amp;$Z8,'Stage data'!$A$3:$AE$128,9,FALSE)),ISBLANK(VLOOKUP($Y$7&amp;$AB8&amp;$Z8,'Stage data'!$A$3:$AE$128,9,FALSE))),"",VLOOKUP($Y$7&amp;$AB8&amp;$Z8,'Stage data'!$A$3:$AE$128,9,FALSE))</f>
        <v>0.31430324176140179</v>
      </c>
      <c r="AH8" s="20">
        <f>IF(OR(ISERROR(VLOOKUP($Y$7&amp;$AB8&amp;$Z8,'Stage data'!$A$3:$AE$128,10,FALSE)),ISBLANK(VLOOKUP($Y$7&amp;$AB8&amp;$Z8,'Stage data'!$A$3:$AE$128,10,FALSE))),"",VLOOKUP($Y$7&amp;$AB8&amp;$Z8,'Stage data'!$A$3:$AE$128,10,FALSE))</f>
        <v>5.0610586047581622E-3</v>
      </c>
      <c r="AI8" s="20">
        <f>IF(OR(ISERROR(VLOOKUP($Y$7&amp;$AB8&amp;$Z8,'Stage data'!$A$3:$AE$128,11,FALSE)),ISBLANK(VLOOKUP($Y$7&amp;$AB8&amp;$Z8,'Stage data'!$A$3:$AE$128,11,FALSE))),"",VLOOKUP($Y$7&amp;$AB8&amp;$Z8,'Stage data'!$A$3:$AE$128,11,FALSE))</f>
        <v>0.10718325249698062</v>
      </c>
      <c r="AJ8" s="20">
        <f>IF(OR(ISERROR(VLOOKUP($Y$7&amp;$AB8&amp;$Z8,'Stage data'!$A$3:$AE$128,12,FALSE)),ISBLANK(VLOOKUP($Y$7&amp;$AB8&amp;$Z8,'Stage data'!$A$3:$AE$128,12,FALSE))),"",VLOOKUP($Y$7&amp;$AB8&amp;$Z8,'Stage data'!$A$3:$AE$128,12,FALSE))</f>
        <v>0.30471790349481431</v>
      </c>
      <c r="AK8" s="62"/>
    </row>
    <row r="9" spans="1:50" ht="15.75" customHeight="1" thickBot="1" x14ac:dyDescent="0.3">
      <c r="D9" s="127"/>
      <c r="E9" s="9" t="s">
        <v>6</v>
      </c>
      <c r="F9" s="10">
        <f>IF(F8="","",VLOOKUP($D$6&amp;$D$8&amp;$E8,'Stage data'!$A$3:$AE$128,16,FALSE))</f>
        <v>0.14499999999999999</v>
      </c>
      <c r="G9" s="10">
        <f>IF(F8="","",VLOOKUP($D$6&amp;$D$8&amp;$E8,'Stage data'!$A$3:$AE$128,17,FALSE))</f>
        <v>0.153</v>
      </c>
      <c r="H9" s="10">
        <f>IF(H8="","",VLOOKUP($D$6&amp;$D$8&amp;$E8,'Stage data'!$A$3:$AE$128,22,FALSE))</f>
        <v>3.5000000000000003E-2</v>
      </c>
      <c r="I9" s="10">
        <f>IF(H8="","",VLOOKUP($D$6&amp;$D$8&amp;$E8,'Stage data'!$A$3:$AE$128,23,FALSE))</f>
        <v>3.9E-2</v>
      </c>
      <c r="J9" s="10">
        <f>IF(J8="","",VLOOKUP($D$6&amp;$D$8&amp;$E8,'Stage data'!$A$3:$AE$128,24,FALSE))</f>
        <v>0.61899999999999999</v>
      </c>
      <c r="K9" s="10">
        <f>IF(J8="","",VLOOKUP($D$6&amp;$D$8&amp;$E8,'Stage data'!$A$3:$AE$128,25,FALSE))</f>
        <v>0.629</v>
      </c>
      <c r="L9" s="10">
        <f>IF(L8="","",VLOOKUP($D$6&amp;$D$8&amp;$E8,'Stage data'!$A$3:$AE$128,20,FALSE))</f>
        <v>7.0000000000000001E-3</v>
      </c>
      <c r="M9" s="10">
        <f>IF(L8="","",VLOOKUP($D$6&amp;$D$8&amp;$E8,'Stage data'!$A$3:$AE$128,21,FALSE))</f>
        <v>8.9999999999999993E-3</v>
      </c>
      <c r="N9" s="10">
        <f>IF(N8="","",VLOOKUP($D$6&amp;$D$8&amp;$E8,'Stage data'!$A$3:$AE$128,18,FALSE))</f>
        <v>1E-3</v>
      </c>
      <c r="O9" s="10">
        <f>IF(N8="","",VLOOKUP($D$6&amp;$D$8&amp;$E8,'Stage data'!$A$3:$AE$128,19,FALSE))</f>
        <v>1E-3</v>
      </c>
      <c r="P9" s="10">
        <f>IF(P8="","",VLOOKUP($D$6&amp;$D$8&amp;$E8,'Stage data'!$A$3:$AE$128,26,FALSE))</f>
        <v>2E-3</v>
      </c>
      <c r="Q9" s="10">
        <f>IF(P8="","",VLOOKUP($D$6&amp;$D$8&amp;$E8,'Stage data'!$A$3:$AE$128,27,FALSE))</f>
        <v>3.0000000000000001E-3</v>
      </c>
      <c r="R9" s="10">
        <f>IF(R8="","",VLOOKUP($D$6&amp;$D$8&amp;$E8,'Stage data'!$A$3:$AE$128,30,FALSE))</f>
        <v>0.16300000000000001</v>
      </c>
      <c r="S9" s="10">
        <f>IF(R8="","",VLOOKUP($D$6&amp;$D$8&amp;$E8,'Stage data'!$A$3:$AE$128,31,FALSE))</f>
        <v>0.17100000000000001</v>
      </c>
      <c r="T9" s="10">
        <f>IF(T8="","",VLOOKUP($D$6&amp;$D$8&amp;$E8,'Stage data'!$A$3:$AE$128,28,FALSE))</f>
        <v>0.01</v>
      </c>
      <c r="U9" s="10">
        <f>IF(T8="","",VLOOKUP($D$6&amp;$D$8&amp;$E8,'Stage data'!$A$3:$AE$128,29,FALSE))</f>
        <v>1.2E-2</v>
      </c>
      <c r="V9" s="87"/>
      <c r="W9" s="84"/>
      <c r="Y9" s="25"/>
      <c r="Z9" s="25" t="s">
        <v>38</v>
      </c>
      <c r="AA9" s="33"/>
      <c r="AB9" s="25" t="s">
        <v>2</v>
      </c>
      <c r="AC9" s="20">
        <f>IF(OR(ISERROR(VLOOKUP($Y$7&amp;$AB9&amp;$Z9,'Stage data'!$A$3:$AE$128,5,FALSE)),ISBLANK(VLOOKUP($Y$7&amp;$AB9&amp;$Z9,'Stage data'!$A$3:$AE$128,5,FALSE))),"",VLOOKUP($Y$7&amp;$AB9&amp;$Z9,'Stage data'!$A$3:$AE$128,5,FALSE))</f>
        <v>0.25929738772358768</v>
      </c>
      <c r="AD9" s="20">
        <f>IF(OR(ISERROR(VLOOKUP($Y$7&amp;$AB9&amp;$Z9,'Stage data'!$A$3:$AE$128,6,FALSE)),ISBLANK(VLOOKUP($Y$7&amp;$AB9&amp;$Z9,'Stage data'!$A$3:$AE$128,6,FALSE))),"",VLOOKUP($Y$7&amp;$AB9&amp;$Z9,'Stage data'!$A$3:$AE$128,6,FALSE))</f>
        <v>1.1581521039763223E-2</v>
      </c>
      <c r="AE9" s="20">
        <f>IF(OR(ISERROR(VLOOKUP($Y$7&amp;$AB9&amp;$Z9,'Stage data'!$A$3:$AE$128,7,FALSE)),ISBLANK(VLOOKUP($Y$7&amp;$AB9&amp;$Z9,'Stage data'!$A$3:$AE$128,7,FALSE))),"",VLOOKUP($Y$7&amp;$AB9&amp;$Z9,'Stage data'!$A$3:$AE$128,7,FALSE))</f>
        <v>3.2428258911337021E-2</v>
      </c>
      <c r="AF9" s="20">
        <f>IF(OR(ISERROR(VLOOKUP($Y$7&amp;$AB9&amp;$Z9,'Stage data'!$A$3:$AE$128,8,FALSE)),ISBLANK(VLOOKUP($Y$7&amp;$AB9&amp;$Z9,'Stage data'!$A$3:$AE$128,8,FALSE))),"",VLOOKUP($Y$7&amp;$AB9&amp;$Z9,'Stage data'!$A$3:$AE$128,8,FALSE))</f>
        <v>8.21001158152104E-2</v>
      </c>
      <c r="AG9" s="20">
        <f>IF(OR(ISERROR(VLOOKUP($Y$7&amp;$AB9&amp;$Z9,'Stage data'!$A$3:$AE$128,9,FALSE)),ISBLANK(VLOOKUP($Y$7&amp;$AB9&amp;$Z9,'Stage data'!$A$3:$AE$128,9,FALSE))),"",VLOOKUP($Y$7&amp;$AB9&amp;$Z9,'Stage data'!$A$3:$AE$128,9,FALSE))</f>
        <v>0.27319521297130356</v>
      </c>
      <c r="AH9" s="20">
        <f>IF(OR(ISERROR(VLOOKUP($Y$7&amp;$AB9&amp;$Z9,'Stage data'!$A$3:$AE$128,10,FALSE)),ISBLANK(VLOOKUP($Y$7&amp;$AB9&amp;$Z9,'Stage data'!$A$3:$AE$128,10,FALSE))),"",VLOOKUP($Y$7&amp;$AB9&amp;$Z9,'Stage data'!$A$3:$AE$128,10,FALSE))</f>
        <v>1.5956762321451552E-2</v>
      </c>
      <c r="AI9" s="20">
        <f>IF(OR(ISERROR(VLOOKUP($Y$7&amp;$AB9&amp;$Z9,'Stage data'!$A$3:$AE$128,11,FALSE)),ISBLANK(VLOOKUP($Y$7&amp;$AB9&amp;$Z9,'Stage data'!$A$3:$AE$128,11,FALSE))),"",VLOOKUP($Y$7&amp;$AB9&amp;$Z9,'Stage data'!$A$3:$AE$128,11,FALSE))</f>
        <v>0.15043108994981341</v>
      </c>
      <c r="AJ9" s="20">
        <f>IF(OR(ISERROR(VLOOKUP($Y$7&amp;$AB9&amp;$Z9,'Stage data'!$A$3:$AE$128,12,FALSE)),ISBLANK(VLOOKUP($Y$7&amp;$AB9&amp;$Z9,'Stage data'!$A$3:$AE$128,12,FALSE))),"",VLOOKUP($Y$7&amp;$AB9&amp;$Z9,'Stage data'!$A$3:$AE$128,12,FALSE))</f>
        <v>0.17500965126753312</v>
      </c>
      <c r="AK9" s="62"/>
    </row>
    <row r="10" spans="1:50" ht="15.75" x14ac:dyDescent="0.25">
      <c r="D10" s="127"/>
      <c r="E10" s="15" t="s">
        <v>39</v>
      </c>
      <c r="F10" s="85">
        <f>IF(OR(ISERROR(VLOOKUP($D$6&amp;$D$8&amp;$E10,'Stage data'!$A$3:$AE$128,5,FALSE)),ISBLANK(VLOOKUP($D$6&amp;$D$8&amp;$E10,'Stage data'!$A$3:$AE$128,5,FALSE))),"",VLOOKUP($D$6&amp;$D$8&amp;$E10,'Stage data'!$A$3:$AE$128,5,FALSE))</f>
        <v>3.8975501113585748E-2</v>
      </c>
      <c r="G10" s="85"/>
      <c r="H10" s="85">
        <f>IF(OR(ISERROR(VLOOKUP($D$6&amp;$D$8&amp;$E10,'Stage data'!$A$3:$AE$128,8,FALSE)),ISBLANK(VLOOKUP($D$6&amp;$D$8&amp;$E10,'Stage data'!$A$3:$AE$128,8,FALSE))),"",VLOOKUP($D$6&amp;$D$8&amp;$E10,'Stage data'!$A$3:$AE$128,8,FALSE))</f>
        <v>7.5723830734966593E-2</v>
      </c>
      <c r="I10" s="85"/>
      <c r="J10" s="85">
        <f>IF(OR(ISERROR(VLOOKUP($D$6&amp;$D$8&amp;$E10,'Stage data'!$A$3:$AE$128,9,FALSE)),ISBLANK(VLOOKUP($D$6&amp;$D$8&amp;$E10,'Stage data'!$A$3:$AE$128,9,FALSE))),"",VLOOKUP($D$6&amp;$D$8&amp;$E10,'Stage data'!$A$3:$AE$128,9,FALSE))</f>
        <v>0.11971046770601336</v>
      </c>
      <c r="K10" s="85"/>
      <c r="L10" s="85">
        <f>IF(OR(ISERROR(VLOOKUP($D$6&amp;$D$8&amp;$E10,'Stage data'!$A$3:$AE$128,7,FALSE)),ISBLANK(VLOOKUP($D$6&amp;$D$8&amp;$E10,'Stage data'!$A$3:$AE$128,7,FALSE))),"",VLOOKUP($D$6&amp;$D$8&amp;$E10,'Stage data'!$A$3:$AE$128,7,FALSE))</f>
        <v>8.9086859688195987E-3</v>
      </c>
      <c r="M10" s="85"/>
      <c r="N10" s="85">
        <f>IF(OR(ISERROR(VLOOKUP($D$6&amp;$D$8&amp;$E10,'Stage data'!$A$3:$AE$128,6,FALSE)),ISBLANK(VLOOKUP($D$6&amp;$D$8&amp;$E10,'Stage data'!$A$3:$AE$128,6,FALSE))),"",VLOOKUP($D$6&amp;$D$8&amp;$E10,'Stage data'!$A$3:$AE$128,6,FALSE))</f>
        <v>3.7305122494432075E-2</v>
      </c>
      <c r="O10" s="85"/>
      <c r="P10" s="85">
        <f>IF(OR(ISERROR(VLOOKUP($D$6&amp;$D$8&amp;$E10,'Stage data'!$A$3:$AE$128,10,FALSE)),ISBLANK(VLOOKUP($D$6&amp;$D$8&amp;$E10,'Stage data'!$A$3:$AE$128,10,FALSE))),"",VLOOKUP($D$6&amp;$D$8&amp;$E10,'Stage data'!$A$3:$AE$128,10,FALSE))</f>
        <v>2.0044543429844099E-2</v>
      </c>
      <c r="Q10" s="85"/>
      <c r="R10" s="85">
        <f>IF(OR(ISERROR(VLOOKUP($D$6&amp;$D$8&amp;$E10,'Stage data'!$A$3:$AE$128,12,FALSE)),ISBLANK(VLOOKUP($D$6&amp;$D$8&amp;$E10,'Stage data'!$A$3:$AE$128,12,FALSE))),"",VLOOKUP($D$6&amp;$D$8&amp;$E10,'Stage data'!$A$3:$AE$128,12,FALSE))</f>
        <v>0.67427616926503342</v>
      </c>
      <c r="S10" s="85"/>
      <c r="T10" s="85">
        <f>IF(OR(ISERROR(VLOOKUP($D$6&amp;$D$8&amp;$E10,'Stage data'!$A$3:$AE$128,11,FALSE)),ISBLANK(VLOOKUP($D$6&amp;$D$8&amp;$E10,'Stage data'!$A$3:$AE$128,11,FALSE))),"",VLOOKUP($D$6&amp;$D$8&amp;$E10,'Stage data'!$A$3:$AE$128,11,FALSE))</f>
        <v>2.5055679287305122E-2</v>
      </c>
      <c r="U10" s="85"/>
      <c r="V10" s="86">
        <f>SUM(F10,N10,L10,H10,J10,P10,T10,R10)</f>
        <v>1</v>
      </c>
      <c r="W10" s="83">
        <f>IF(OR(ISERROR(VLOOKUP($D$6&amp;$D$8&amp;$E10,'Stage data'!$A$3:$AE$128,14,FALSE)),ISBLANK(VLOOKUP($D$6&amp;$D$8&amp;$E10,'Stage data'!$A$3:$AE$128,14,FALSE))),"",VLOOKUP($D$6&amp;$D$8&amp;$E10,'Stage data'!$A$3:$AE$128,14,FALSE))</f>
        <v>1796</v>
      </c>
      <c r="Y10" s="25"/>
      <c r="Z10" s="25" t="s">
        <v>38</v>
      </c>
      <c r="AA10" s="33"/>
      <c r="AB10" s="25" t="s">
        <v>32</v>
      </c>
      <c r="AC10" s="20">
        <f>IF(OR(ISERROR(VLOOKUP($Y$7&amp;$AB10&amp;$Z10,'Stage data'!$A$3:$AE$128,5,FALSE)),ISBLANK(VLOOKUP($Y$7&amp;$AB10&amp;$Z10,'Stage data'!$A$3:$AE$128,5,FALSE))),"",VLOOKUP($Y$7&amp;$AB10&amp;$Z10,'Stage data'!$A$3:$AE$128,5,FALSE))</f>
        <v>0.29363001745200701</v>
      </c>
      <c r="AD10" s="20">
        <f>IF(OR(ISERROR(VLOOKUP($Y$7&amp;$AB10&amp;$Z10,'Stage data'!$A$3:$AE$128,6,FALSE)),ISBLANK(VLOOKUP($Y$7&amp;$AB10&amp;$Z10,'Stage data'!$A$3:$AE$128,6,FALSE))),"",VLOOKUP($Y$7&amp;$AB10&amp;$Z10,'Stage data'!$A$3:$AE$128,6,FALSE))</f>
        <v>1.0907504363001745E-2</v>
      </c>
      <c r="AE10" s="20">
        <f>IF(OR(ISERROR(VLOOKUP($Y$7&amp;$AB10&amp;$Z10,'Stage data'!$A$3:$AE$128,7,FALSE)),ISBLANK(VLOOKUP($Y$7&amp;$AB10&amp;$Z10,'Stage data'!$A$3:$AE$128,7,FALSE))),"",VLOOKUP($Y$7&amp;$AB10&amp;$Z10,'Stage data'!$A$3:$AE$128,7,FALSE))</f>
        <v>2.006980802792321E-2</v>
      </c>
      <c r="AF10" s="20">
        <f>IF(OR(ISERROR(VLOOKUP($Y$7&amp;$AB10&amp;$Z10,'Stage data'!$A$3:$AE$128,8,FALSE)),ISBLANK(VLOOKUP($Y$7&amp;$AB10&amp;$Z10,'Stage data'!$A$3:$AE$128,8,FALSE))),"",VLOOKUP($Y$7&amp;$AB10&amp;$Z10,'Stage data'!$A$3:$AE$128,8,FALSE))</f>
        <v>9.293193717277487E-2</v>
      </c>
      <c r="AG10" s="20">
        <f>IF(OR(ISERROR(VLOOKUP($Y$7&amp;$AB10&amp;$Z10,'Stage data'!$A$3:$AE$128,9,FALSE)),ISBLANK(VLOOKUP($Y$7&amp;$AB10&amp;$Z10,'Stage data'!$A$3:$AE$128,9,FALSE))),"",VLOOKUP($Y$7&amp;$AB10&amp;$Z10,'Stage data'!$A$3:$AE$128,9,FALSE))</f>
        <v>0.33769633507853403</v>
      </c>
      <c r="AH10" s="20">
        <f>IF(OR(ISERROR(VLOOKUP($Y$7&amp;$AB10&amp;$Z10,'Stage data'!$A$3:$AE$128,10,FALSE)),ISBLANK(VLOOKUP($Y$7&amp;$AB10&amp;$Z10,'Stage data'!$A$3:$AE$128,10,FALSE))),"",VLOOKUP($Y$7&amp;$AB10&amp;$Z10,'Stage data'!$A$3:$AE$128,10,FALSE))</f>
        <v>1.1343804537521814E-2</v>
      </c>
      <c r="AI10" s="20">
        <f>IF(OR(ISERROR(VLOOKUP($Y$7&amp;$AB10&amp;$Z10,'Stage data'!$A$3:$AE$128,11,FALSE)),ISBLANK(VLOOKUP($Y$7&amp;$AB10&amp;$Z10,'Stage data'!$A$3:$AE$128,11,FALSE))),"",VLOOKUP($Y$7&amp;$AB10&amp;$Z10,'Stage data'!$A$3:$AE$128,11,FALSE))</f>
        <v>9.2495636998254804E-2</v>
      </c>
      <c r="AJ10" s="20">
        <f>IF(OR(ISERROR(VLOOKUP($Y$7&amp;$AB10&amp;$Z10,'Stage data'!$A$3:$AE$128,12,FALSE)),ISBLANK(VLOOKUP($Y$7&amp;$AB10&amp;$Z10,'Stage data'!$A$3:$AE$128,12,FALSE))),"",VLOOKUP($Y$7&amp;$AB10&amp;$Z10,'Stage data'!$A$3:$AE$128,12,FALSE))</f>
        <v>0.14092495636998253</v>
      </c>
      <c r="AK10" s="62"/>
    </row>
    <row r="11" spans="1:50" ht="15.75" customHeight="1" thickBot="1" x14ac:dyDescent="0.3">
      <c r="D11" s="127"/>
      <c r="E11" s="9" t="s">
        <v>6</v>
      </c>
      <c r="F11" s="10">
        <f>IF(F10="","",VLOOKUP($D$6&amp;$D$8&amp;$E10,'Stage data'!$A$3:$AE$128,16,FALSE))</f>
        <v>3.1E-2</v>
      </c>
      <c r="G11" s="10">
        <f>IF(F10="","",VLOOKUP($D$6&amp;$D$8&amp;$E10,'Stage data'!$A$3:$AE$128,17,FALSE))</f>
        <v>4.9000000000000002E-2</v>
      </c>
      <c r="H11" s="10">
        <f>IF(H10="","",VLOOKUP($D$6&amp;$D$8&amp;$E10,'Stage data'!$A$3:$AE$128,22,FALSE))</f>
        <v>6.4000000000000001E-2</v>
      </c>
      <c r="I11" s="10">
        <f>IF(H10="","",VLOOKUP($D$6&amp;$D$8&amp;$E10,'Stage data'!$A$3:$AE$128,23,FALSE))</f>
        <v>8.8999999999999996E-2</v>
      </c>
      <c r="J11" s="10">
        <f>IF(J10="","",VLOOKUP($D$6&amp;$D$8&amp;$E10,'Stage data'!$A$3:$AE$128,24,FALSE))</f>
        <v>0.106</v>
      </c>
      <c r="K11" s="10">
        <f>IF(J10="","",VLOOKUP($D$6&amp;$D$8&amp;$E10,'Stage data'!$A$3:$AE$128,25,FALSE))</f>
        <v>0.13600000000000001</v>
      </c>
      <c r="L11" s="10">
        <f>IF(L10="","",VLOOKUP($D$6&amp;$D$8&amp;$E10,'Stage data'!$A$3:$AE$128,20,FALSE))</f>
        <v>5.0000000000000001E-3</v>
      </c>
      <c r="M11" s="10">
        <f>IF(L10="","",VLOOKUP($D$6&amp;$D$8&amp;$E10,'Stage data'!$A$3:$AE$128,21,FALSE))</f>
        <v>1.4E-2</v>
      </c>
      <c r="N11" s="10">
        <f>IF(N10="","",VLOOKUP($D$6&amp;$D$8&amp;$E10,'Stage data'!$A$3:$AE$128,18,FALSE))</f>
        <v>2.9000000000000001E-2</v>
      </c>
      <c r="O11" s="10">
        <f>IF(N10="","",VLOOKUP($D$6&amp;$D$8&amp;$E10,'Stage data'!$A$3:$AE$128,19,FALSE))</f>
        <v>4.7E-2</v>
      </c>
      <c r="P11" s="10">
        <f>IF(P10="","",VLOOKUP($D$6&amp;$D$8&amp;$E10,'Stage data'!$A$3:$AE$128,26,FALSE))</f>
        <v>1.4999999999999999E-2</v>
      </c>
      <c r="Q11" s="10">
        <f>IF(P10="","",VLOOKUP($D$6&amp;$D$8&amp;$E10,'Stage data'!$A$3:$AE$128,27,FALSE))</f>
        <v>2.8000000000000001E-2</v>
      </c>
      <c r="R11" s="10">
        <f>IF(R10="","",VLOOKUP($D$6&amp;$D$8&amp;$E10,'Stage data'!$A$3:$AE$128,30,FALSE))</f>
        <v>0.65200000000000002</v>
      </c>
      <c r="S11" s="10">
        <f>IF(R10="","",VLOOKUP($D$6&amp;$D$8&amp;$E10,'Stage data'!$A$3:$AE$128,31,FALSE))</f>
        <v>0.69599999999999995</v>
      </c>
      <c r="T11" s="10">
        <f>IF(T10="","",VLOOKUP($D$6&amp;$D$8&amp;$E10,'Stage data'!$A$3:$AE$128,28,FALSE))</f>
        <v>1.9E-2</v>
      </c>
      <c r="U11" s="10">
        <f>IF(T10="","",VLOOKUP($D$6&amp;$D$8&amp;$E10,'Stage data'!$A$3:$AE$128,29,FALSE))</f>
        <v>3.3000000000000002E-2</v>
      </c>
      <c r="V11" s="87"/>
      <c r="W11" s="84"/>
      <c r="Y11" s="25"/>
      <c r="Z11" s="25" t="s">
        <v>38</v>
      </c>
      <c r="AA11" s="33"/>
      <c r="AB11" s="25" t="s">
        <v>3</v>
      </c>
      <c r="AC11" s="20">
        <f>IF(OR(ISERROR(VLOOKUP($Y$7&amp;$AB11&amp;$Z11,'Stage data'!$A$3:$AE$128,5,FALSE)),ISBLANK(VLOOKUP($Y$7&amp;$AB11&amp;$Z11,'Stage data'!$A$3:$AE$128,5,FALSE))),"",VLOOKUP($Y$7&amp;$AB11&amp;$Z11,'Stage data'!$A$3:$AE$128,5,FALSE))</f>
        <v>0.17190506735086594</v>
      </c>
      <c r="AD11" s="20">
        <f>IF(OR(ISERROR(VLOOKUP($Y$7&amp;$AB11&amp;$Z11,'Stage data'!$A$3:$AE$128,6,FALSE)),ISBLANK(VLOOKUP($Y$7&amp;$AB11&amp;$Z11,'Stage data'!$A$3:$AE$128,6,FALSE))),"",VLOOKUP($Y$7&amp;$AB11&amp;$Z11,'Stage data'!$A$3:$AE$128,6,FALSE))</f>
        <v>1.3470173187940988E-2</v>
      </c>
      <c r="AE11" s="20">
        <f>IF(OR(ISERROR(VLOOKUP($Y$7&amp;$AB11&amp;$Z11,'Stage data'!$A$3:$AE$128,7,FALSE)),ISBLANK(VLOOKUP($Y$7&amp;$AB11&amp;$Z11,'Stage data'!$A$3:$AE$128,7,FALSE))),"",VLOOKUP($Y$7&amp;$AB11&amp;$Z11,'Stage data'!$A$3:$AE$128,7,FALSE))</f>
        <v>1.731879409878127E-2</v>
      </c>
      <c r="AF11" s="20">
        <f>IF(OR(ISERROR(VLOOKUP($Y$7&amp;$AB11&amp;$Z11,'Stage data'!$A$3:$AE$128,8,FALSE)),ISBLANK(VLOOKUP($Y$7&amp;$AB11&amp;$Z11,'Stage data'!$A$3:$AE$128,8,FALSE))),"",VLOOKUP($Y$7&amp;$AB11&amp;$Z11,'Stage data'!$A$3:$AE$128,8,FALSE))</f>
        <v>3.784477228992944E-2</v>
      </c>
      <c r="AG11" s="20">
        <f>IF(OR(ISERROR(VLOOKUP($Y$7&amp;$AB11&amp;$Z11,'Stage data'!$A$3:$AE$128,9,FALSE)),ISBLANK(VLOOKUP($Y$7&amp;$AB11&amp;$Z11,'Stage data'!$A$3:$AE$128,9,FALSE))),"",VLOOKUP($Y$7&amp;$AB11&amp;$Z11,'Stage data'!$A$3:$AE$128,9,FALSE))</f>
        <v>0.15394483643361129</v>
      </c>
      <c r="AH11" s="20">
        <f>IF(OR(ISERROR(VLOOKUP($Y$7&amp;$AB11&amp;$Z11,'Stage data'!$A$3:$AE$128,10,FALSE)),ISBLANK(VLOOKUP($Y$7&amp;$AB11&amp;$Z11,'Stage data'!$A$3:$AE$128,10,FALSE))),"",VLOOKUP($Y$7&amp;$AB11&amp;$Z11,'Stage data'!$A$3:$AE$128,10,FALSE))</f>
        <v>7.0558050032071837E-3</v>
      </c>
      <c r="AI11" s="20">
        <f>IF(OR(ISERROR(VLOOKUP($Y$7&amp;$AB11&amp;$Z11,'Stage data'!$A$3:$AE$128,11,FALSE)),ISBLANK(VLOOKUP($Y$7&amp;$AB11&amp;$Z11,'Stage data'!$A$3:$AE$128,11,FALSE))),"",VLOOKUP($Y$7&amp;$AB11&amp;$Z11,'Stage data'!$A$3:$AE$128,11,FALSE))</f>
        <v>0.50545221295702369</v>
      </c>
      <c r="AJ11" s="20">
        <f>IF(OR(ISERROR(VLOOKUP($Y$7&amp;$AB11&amp;$Z11,'Stage data'!$A$3:$AE$128,12,FALSE)),ISBLANK(VLOOKUP($Y$7&amp;$AB11&amp;$Z11,'Stage data'!$A$3:$AE$128,12,FALSE))),"",VLOOKUP($Y$7&amp;$AB11&amp;$Z11,'Stage data'!$A$3:$AE$128,12,FALSE))</f>
        <v>9.3008338678640154E-2</v>
      </c>
      <c r="AK11" s="62"/>
    </row>
    <row r="12" spans="1:50" ht="15.75" x14ac:dyDescent="0.25">
      <c r="D12" s="127"/>
      <c r="E12" s="15" t="s">
        <v>4</v>
      </c>
      <c r="F12" s="85">
        <f>IF(OR(ISERROR(VLOOKUP($D$6&amp;$D$8&amp;$E12,'Stage data'!$A$3:$AE$128,5,FALSE)),ISBLANK(VLOOKUP($D$6&amp;$D$8&amp;$E12,'Stage data'!$A$3:$AE$128,5,FALSE))),"",VLOOKUP($D$6&amp;$D$8&amp;$E12,'Stage data'!$A$3:$AE$128,5,FALSE))</f>
        <v>0.16650943396226414</v>
      </c>
      <c r="G12" s="85"/>
      <c r="H12" s="85">
        <f>IF(OR(ISERROR(VLOOKUP($D$6&amp;$D$8&amp;$E12,'Stage data'!$A$3:$AE$128,8,FALSE)),ISBLANK(VLOOKUP($D$6&amp;$D$8&amp;$E12,'Stage data'!$A$3:$AE$128,8,FALSE))),"",VLOOKUP($D$6&amp;$D$8&amp;$E12,'Stage data'!$A$3:$AE$128,8,FALSE))</f>
        <v>4.0566037735849055E-2</v>
      </c>
      <c r="I12" s="85"/>
      <c r="J12" s="85">
        <f>IF(OR(ISERROR(VLOOKUP($D$6&amp;$D$8&amp;$E12,'Stage data'!$A$3:$AE$128,9,FALSE)),ISBLANK(VLOOKUP($D$6&amp;$D$8&amp;$E12,'Stage data'!$A$3:$AE$128,9,FALSE))),"",VLOOKUP($D$6&amp;$D$8&amp;$E12,'Stage data'!$A$3:$AE$128,9,FALSE))</f>
        <v>0.31650943396226416</v>
      </c>
      <c r="K12" s="85"/>
      <c r="L12" s="85">
        <f>IF(OR(ISERROR(VLOOKUP($D$6&amp;$D$8&amp;$E12,'Stage data'!$A$3:$AE$128,7,FALSE)),ISBLANK(VLOOKUP($D$6&amp;$D$8&amp;$E12,'Stage data'!$A$3:$AE$128,7,FALSE))),"",VLOOKUP($D$6&amp;$D$8&amp;$E12,'Stage data'!$A$3:$AE$128,7,FALSE))</f>
        <v>3.2547169811320754E-2</v>
      </c>
      <c r="M12" s="85"/>
      <c r="N12" s="85">
        <f>IF(OR(ISERROR(VLOOKUP($D$6&amp;$D$8&amp;$E12,'Stage data'!$A$3:$AE$128,6,FALSE)),ISBLANK(VLOOKUP($D$6&amp;$D$8&amp;$E12,'Stage data'!$A$3:$AE$128,6,FALSE))),"",VLOOKUP($D$6&amp;$D$8&amp;$E12,'Stage data'!$A$3:$AE$128,6,FALSE))</f>
        <v>1.0377358490566037E-2</v>
      </c>
      <c r="O12" s="85"/>
      <c r="P12" s="85">
        <f>IF(OR(ISERROR(VLOOKUP($D$6&amp;$D$8&amp;$E12,'Stage data'!$A$3:$AE$128,10,FALSE)),ISBLANK(VLOOKUP($D$6&amp;$D$8&amp;$E12,'Stage data'!$A$3:$AE$128,10,FALSE))),"",VLOOKUP($D$6&amp;$D$8&amp;$E12,'Stage data'!$A$3:$AE$128,10,FALSE))</f>
        <v>8.962264150943396E-3</v>
      </c>
      <c r="Q12" s="85"/>
      <c r="R12" s="85">
        <f>IF(OR(ISERROR(VLOOKUP($D$6&amp;$D$8&amp;$E12,'Stage data'!$A$3:$AE$128,12,FALSE)),ISBLANK(VLOOKUP($D$6&amp;$D$8&amp;$E12,'Stage data'!$A$3:$AE$128,12,FALSE))),"",VLOOKUP($D$6&amp;$D$8&amp;$E12,'Stage data'!$A$3:$AE$128,12,FALSE))</f>
        <v>0.22169811320754718</v>
      </c>
      <c r="S12" s="85"/>
      <c r="T12" s="85">
        <f>IF(OR(ISERROR(VLOOKUP($D$6&amp;$D$8&amp;$E12,'Stage data'!$A$3:$AE$128,11,FALSE)),ISBLANK(VLOOKUP($D$6&amp;$D$8&amp;$E12,'Stage data'!$A$3:$AE$128,11,FALSE))),"",VLOOKUP($D$6&amp;$D$8&amp;$E12,'Stage data'!$A$3:$AE$128,11,FALSE))</f>
        <v>0.20283018867924529</v>
      </c>
      <c r="U12" s="85"/>
      <c r="V12" s="86">
        <f>SUM(F12,N12,L12,H12,J12,P12,T12,R12)</f>
        <v>1</v>
      </c>
      <c r="W12" s="83">
        <f>IF(OR(ISERROR(VLOOKUP($D$6&amp;$D$8&amp;$E12,'Stage data'!$A$3:$AE$128,14,FALSE)),ISBLANK(VLOOKUP($D$6&amp;$D$8&amp;$E12,'Stage data'!$A$3:$AE$128,14,FALSE))),"",VLOOKUP($D$6&amp;$D$8&amp;$E12,'Stage data'!$A$3:$AE$128,14,FALSE))</f>
        <v>2120</v>
      </c>
      <c r="Y12" s="25"/>
      <c r="Z12" s="25" t="s">
        <v>38</v>
      </c>
      <c r="AA12" s="33"/>
      <c r="AB12" s="25" t="s">
        <v>4</v>
      </c>
      <c r="AC12" s="20">
        <f>IF(OR(ISERROR(VLOOKUP($Y$7&amp;$AB12&amp;$Z12,'Stage data'!$A$3:$AE$128,5,FALSE)),ISBLANK(VLOOKUP($Y$7&amp;$AB12&amp;$Z12,'Stage data'!$A$3:$AE$128,5,FALSE))),"",VLOOKUP($Y$7&amp;$AB12&amp;$Z12,'Stage data'!$A$3:$AE$128,5,FALSE))</f>
        <v>0.30302096177558568</v>
      </c>
      <c r="AD12" s="20">
        <f>IF(OR(ISERROR(VLOOKUP($Y$7&amp;$AB12&amp;$Z12,'Stage data'!$A$3:$AE$128,6,FALSE)),ISBLANK(VLOOKUP($Y$7&amp;$AB12&amp;$Z12,'Stage data'!$A$3:$AE$128,6,FALSE))),"",VLOOKUP($Y$7&amp;$AB12&amp;$Z12,'Stage data'!$A$3:$AE$128,6,FALSE))</f>
        <v>1.1405672009864365E-2</v>
      </c>
      <c r="AE12" s="20">
        <f>IF(OR(ISERROR(VLOOKUP($Y$7&amp;$AB12&amp;$Z12,'Stage data'!$A$3:$AE$128,7,FALSE)),ISBLANK(VLOOKUP($Y$7&amp;$AB12&amp;$Z12,'Stage data'!$A$3:$AE$128,7,FALSE))),"",VLOOKUP($Y$7&amp;$AB12&amp;$Z12,'Stage data'!$A$3:$AE$128,7,FALSE))</f>
        <v>4.3464858199753389E-2</v>
      </c>
      <c r="AF12" s="20">
        <f>IF(OR(ISERROR(VLOOKUP($Y$7&amp;$AB12&amp;$Z12,'Stage data'!$A$3:$AE$128,8,FALSE)),ISBLANK(VLOOKUP($Y$7&amp;$AB12&amp;$Z12,'Stage data'!$A$3:$AE$128,8,FALSE))),"",VLOOKUP($Y$7&amp;$AB12&amp;$Z12,'Stage data'!$A$3:$AE$128,8,FALSE))</f>
        <v>6.5659679408138105E-2</v>
      </c>
      <c r="AG12" s="20">
        <f>IF(OR(ISERROR(VLOOKUP($Y$7&amp;$AB12&amp;$Z12,'Stage data'!$A$3:$AE$128,9,FALSE)),ISBLANK(VLOOKUP($Y$7&amp;$AB12&amp;$Z12,'Stage data'!$A$3:$AE$128,9,FALSE))),"",VLOOKUP($Y$7&amp;$AB12&amp;$Z12,'Stage data'!$A$3:$AE$128,9,FALSE))</f>
        <v>0.344019728729963</v>
      </c>
      <c r="AH12" s="20">
        <f>IF(OR(ISERROR(VLOOKUP($Y$7&amp;$AB12&amp;$Z12,'Stage data'!$A$3:$AE$128,10,FALSE)),ISBLANK(VLOOKUP($Y$7&amp;$AB12&amp;$Z12,'Stage data'!$A$3:$AE$128,10,FALSE))),"",VLOOKUP($Y$7&amp;$AB12&amp;$Z12,'Stage data'!$A$3:$AE$128,10,FALSE))</f>
        <v>1.8495684340320593E-2</v>
      </c>
      <c r="AI12" s="20">
        <f>IF(OR(ISERROR(VLOOKUP($Y$7&amp;$AB12&amp;$Z12,'Stage data'!$A$3:$AE$128,11,FALSE)),ISBLANK(VLOOKUP($Y$7&amp;$AB12&amp;$Z12,'Stage data'!$A$3:$AE$128,11,FALSE))),"",VLOOKUP($Y$7&amp;$AB12&amp;$Z12,'Stage data'!$A$3:$AE$128,11,FALSE))</f>
        <v>6.0110974106041923E-2</v>
      </c>
      <c r="AJ12" s="20">
        <f>IF(OR(ISERROR(VLOOKUP($Y$7&amp;$AB12&amp;$Z12,'Stage data'!$A$3:$AE$128,12,FALSE)),ISBLANK(VLOOKUP($Y$7&amp;$AB12&amp;$Z12,'Stage data'!$A$3:$AE$128,12,FALSE))),"",VLOOKUP($Y$7&amp;$AB12&amp;$Z12,'Stage data'!$A$3:$AE$128,12,FALSE))</f>
        <v>0.15382244143033291</v>
      </c>
      <c r="AK12" s="62"/>
    </row>
    <row r="13" spans="1:50" ht="15.75" customHeight="1" thickBot="1" x14ac:dyDescent="0.3">
      <c r="B13" s="55"/>
      <c r="D13" s="128"/>
      <c r="E13" s="9" t="s">
        <v>6</v>
      </c>
      <c r="F13" s="10">
        <f>IF(F12="","",VLOOKUP($D$6&amp;$D$8&amp;$E12,'Stage data'!$A$3:$AE$128,16,FALSE))</f>
        <v>0.151</v>
      </c>
      <c r="G13" s="10">
        <f>IF(F12="","",VLOOKUP($D$6&amp;$D$8&amp;$E12,'Stage data'!$A$3:$AE$128,17,FALSE))</f>
        <v>0.183</v>
      </c>
      <c r="H13" s="10">
        <f>IF(H12="","",VLOOKUP($D$6&amp;$D$8&amp;$E12,'Stage data'!$A$3:$AE$128,22,FALSE))</f>
        <v>3.3000000000000002E-2</v>
      </c>
      <c r="I13" s="10">
        <f>IF(H12="","",VLOOKUP($D$6&amp;$D$8&amp;$E12,'Stage data'!$A$3:$AE$128,23,FALSE))</f>
        <v>0.05</v>
      </c>
      <c r="J13" s="10">
        <f>IF(J12="","",VLOOKUP($D$6&amp;$D$8&amp;$E12,'Stage data'!$A$3:$AE$128,24,FALSE))</f>
        <v>0.29699999999999999</v>
      </c>
      <c r="K13" s="10">
        <f>IF(J12="","",VLOOKUP($D$6&amp;$D$8&amp;$E12,'Stage data'!$A$3:$AE$128,25,FALSE))</f>
        <v>0.33700000000000002</v>
      </c>
      <c r="L13" s="10">
        <f>IF(L12="","",VLOOKUP($D$6&amp;$D$8&amp;$E12,'Stage data'!$A$3:$AE$128,20,FALSE))</f>
        <v>2.5999999999999999E-2</v>
      </c>
      <c r="M13" s="10">
        <f>IF(L12="","",VLOOKUP($D$6&amp;$D$8&amp;$E12,'Stage data'!$A$3:$AE$128,21,FALSE))</f>
        <v>4.1000000000000002E-2</v>
      </c>
      <c r="N13" s="10">
        <f>IF(N12="","",VLOOKUP($D$6&amp;$D$8&amp;$E12,'Stage data'!$A$3:$AE$128,18,FALSE))</f>
        <v>7.0000000000000001E-3</v>
      </c>
      <c r="O13" s="10">
        <f>IF(N12="","",VLOOKUP($D$6&amp;$D$8&amp;$E12,'Stage data'!$A$3:$AE$128,19,FALSE))</f>
        <v>1.6E-2</v>
      </c>
      <c r="P13" s="10">
        <f>IF(P12="","",VLOOKUP($D$6&amp;$D$8&amp;$E12,'Stage data'!$A$3:$AE$128,26,FALSE))</f>
        <v>6.0000000000000001E-3</v>
      </c>
      <c r="Q13" s="10">
        <f>IF(P12="","",VLOOKUP($D$6&amp;$D$8&amp;$E12,'Stage data'!$A$3:$AE$128,27,FALSE))</f>
        <v>1.4E-2</v>
      </c>
      <c r="R13" s="10">
        <f>IF(R12="","",VLOOKUP($D$6&amp;$D$8&amp;$E12,'Stage data'!$A$3:$AE$128,30,FALSE))</f>
        <v>0.20499999999999999</v>
      </c>
      <c r="S13" s="10">
        <f>IF(R12="","",VLOOKUP($D$6&amp;$D$8&amp;$E12,'Stage data'!$A$3:$AE$128,31,FALSE))</f>
        <v>0.24</v>
      </c>
      <c r="T13" s="10">
        <f>IF(T12="","",VLOOKUP($D$6&amp;$D$8&amp;$E12,'Stage data'!$A$3:$AE$128,28,FALSE))</f>
        <v>0.186</v>
      </c>
      <c r="U13" s="10">
        <f>IF(T12="","",VLOOKUP($D$6&amp;$D$8&amp;$E12,'Stage data'!$A$3:$AE$128,29,FALSE))</f>
        <v>0.22</v>
      </c>
      <c r="V13" s="87"/>
      <c r="W13" s="84"/>
      <c r="Y13" s="25"/>
      <c r="Z13" s="25" t="s">
        <v>38</v>
      </c>
      <c r="AA13" s="33"/>
      <c r="AB13" s="25" t="s">
        <v>34</v>
      </c>
      <c r="AC13" s="20">
        <f>IF(OR(ISERROR(VLOOKUP($Y$7&amp;$AB13&amp;$Z13,'Stage data'!$A$3:$AE$128,5,FALSE)),ISBLANK(VLOOKUP($Y$7&amp;$AB13&amp;$Z13,'Stage data'!$A$3:$AE$128,5,FALSE))),"",VLOOKUP($Y$7&amp;$AB13&amp;$Z13,'Stage data'!$A$3:$AE$128,5,FALSE))</f>
        <v>0.18197967325781181</v>
      </c>
      <c r="AD13" s="20">
        <f>IF(OR(ISERROR(VLOOKUP($Y$7&amp;$AB13&amp;$Z13,'Stage data'!$A$3:$AE$128,6,FALSE)),ISBLANK(VLOOKUP($Y$7&amp;$AB13&amp;$Z13,'Stage data'!$A$3:$AE$128,6,FALSE))),"",VLOOKUP($Y$7&amp;$AB13&amp;$Z13,'Stage data'!$A$3:$AE$128,6,FALSE))</f>
        <v>4.2808468505198174E-3</v>
      </c>
      <c r="AE13" s="20">
        <f>IF(OR(ISERROR(VLOOKUP($Y$7&amp;$AB13&amp;$Z13,'Stage data'!$A$3:$AE$128,7,FALSE)),ISBLANK(VLOOKUP($Y$7&amp;$AB13&amp;$Z13,'Stage data'!$A$3:$AE$128,7,FALSE))),"",VLOOKUP($Y$7&amp;$AB13&amp;$Z13,'Stage data'!$A$3:$AE$128,7,FALSE))</f>
        <v>1.00177640583593E-2</v>
      </c>
      <c r="AF13" s="20">
        <f>IF(OR(ISERROR(VLOOKUP($Y$7&amp;$AB13&amp;$Z13,'Stage data'!$A$3:$AE$128,8,FALSE)),ISBLANK(VLOOKUP($Y$7&amp;$AB13&amp;$Z13,'Stage data'!$A$3:$AE$128,8,FALSE))),"",VLOOKUP($Y$7&amp;$AB13&amp;$Z13,'Stage data'!$A$3:$AE$128,8,FALSE))</f>
        <v>6.322257491481989E-2</v>
      </c>
      <c r="AG13" s="20">
        <f>IF(OR(ISERROR(VLOOKUP($Y$7&amp;$AB13&amp;$Z13,'Stage data'!$A$3:$AE$128,9,FALSE)),ISBLANK(VLOOKUP($Y$7&amp;$AB13&amp;$Z13,'Stage data'!$A$3:$AE$128,9,FALSE))),"",VLOOKUP($Y$7&amp;$AB13&amp;$Z13,'Stage data'!$A$3:$AE$128,9,FALSE))</f>
        <v>0.41857169205082656</v>
      </c>
      <c r="AH13" s="20">
        <f>IF(OR(ISERROR(VLOOKUP($Y$7&amp;$AB13&amp;$Z13,'Stage data'!$A$3:$AE$128,10,FALSE)),ISBLANK(VLOOKUP($Y$7&amp;$AB13&amp;$Z13,'Stage data'!$A$3:$AE$128,10,FALSE))),"",VLOOKUP($Y$7&amp;$AB13&amp;$Z13,'Stage data'!$A$3:$AE$128,10,FALSE))</f>
        <v>5.5816030363920518E-3</v>
      </c>
      <c r="AI13" s="20">
        <f>IF(OR(ISERROR(VLOOKUP($Y$7&amp;$AB13&amp;$Z13,'Stage data'!$A$3:$AE$128,11,FALSE)),ISBLANK(VLOOKUP($Y$7&amp;$AB13&amp;$Z13,'Stage data'!$A$3:$AE$128,11,FALSE))),"",VLOOKUP($Y$7&amp;$AB13&amp;$Z13,'Stage data'!$A$3:$AE$128,11,FALSE))</f>
        <v>8.1035168952697134E-2</v>
      </c>
      <c r="AJ13" s="20">
        <f>IF(OR(ISERROR(VLOOKUP($Y$7&amp;$AB13&amp;$Z13,'Stage data'!$A$3:$AE$128,12,FALSE)),ISBLANK(VLOOKUP($Y$7&amp;$AB13&amp;$Z13,'Stage data'!$A$3:$AE$128,12,FALSE))),"",VLOOKUP($Y$7&amp;$AB13&amp;$Z13,'Stage data'!$A$3:$AE$128,12,FALSE))</f>
        <v>0.23531067687857343</v>
      </c>
      <c r="AK13" s="62"/>
    </row>
    <row r="14" spans="1:50" x14ac:dyDescent="0.25">
      <c r="Y14" s="25"/>
      <c r="Z14" s="25"/>
      <c r="AA14" s="33"/>
      <c r="AB14" s="25"/>
      <c r="AC14" s="20"/>
      <c r="AD14" s="20"/>
      <c r="AE14" s="20"/>
      <c r="AF14" s="20"/>
      <c r="AG14" s="20"/>
      <c r="AH14" s="20"/>
      <c r="AI14" s="20"/>
      <c r="AJ14" s="20"/>
      <c r="AK14" s="62"/>
    </row>
    <row r="15" spans="1:50" ht="15.75" customHeight="1" x14ac:dyDescent="0.25">
      <c r="D15" s="109" t="s">
        <v>13</v>
      </c>
      <c r="E15" s="110"/>
      <c r="F15" s="110"/>
      <c r="G15" s="110"/>
      <c r="H15" s="110"/>
      <c r="I15" s="110"/>
      <c r="J15" s="110"/>
      <c r="K15" s="110"/>
      <c r="L15" s="110"/>
      <c r="M15" s="110"/>
      <c r="N15" s="110"/>
      <c r="O15" s="110"/>
      <c r="P15" s="110"/>
      <c r="Q15" s="110"/>
      <c r="R15" s="110"/>
      <c r="S15" s="110"/>
      <c r="T15" s="110"/>
      <c r="U15" s="110"/>
      <c r="V15" s="110"/>
      <c r="W15" s="110"/>
      <c r="Y15" s="25"/>
      <c r="Z15" s="25" t="s">
        <v>39</v>
      </c>
      <c r="AA15" s="25" t="s">
        <v>39</v>
      </c>
      <c r="AB15" s="25" t="s">
        <v>0</v>
      </c>
      <c r="AC15" s="20">
        <f>IF(OR(ISERROR(VLOOKUP($Y$7&amp;$AB15&amp;$Z15,'Stage data'!$A$3:$AE$128,5,FALSE)),ISBLANK(VLOOKUP($Y$7&amp;$AB15&amp;$Z15,'Stage data'!$A$3:$AE$128,5,FALSE))),"",VLOOKUP($Y$7&amp;$AB15&amp;$Z15,'Stage data'!$A$3:$AE$128,5,FALSE))</f>
        <v>3.8975501113585748E-2</v>
      </c>
      <c r="AD15" s="20">
        <f>IF(OR(ISERROR(VLOOKUP($Y$7&amp;$AB15&amp;$Z15,'Stage data'!$A$3:$AE$128,6,FALSE)),ISBLANK(VLOOKUP($Y$7&amp;$AB15&amp;$Z15,'Stage data'!$A$3:$AE$128,6,FALSE))),"",VLOOKUP($Y$7&amp;$AB15&amp;$Z15,'Stage data'!$A$3:$AE$128,6,FALSE))</f>
        <v>3.7305122494432075E-2</v>
      </c>
      <c r="AE15" s="20">
        <f>IF(OR(ISERROR(VLOOKUP($Y$7&amp;$AB15&amp;$Z15,'Stage data'!$A$3:$AE$128,7,FALSE)),ISBLANK(VLOOKUP($Y$7&amp;$AB15&amp;$Z15,'Stage data'!$A$3:$AE$128,7,FALSE))),"",VLOOKUP($Y$7&amp;$AB15&amp;$Z15,'Stage data'!$A$3:$AE$128,7,FALSE))</f>
        <v>8.9086859688195987E-3</v>
      </c>
      <c r="AF15" s="20">
        <f>IF(OR(ISERROR(VLOOKUP($Y$7&amp;$AB15&amp;$Z15,'Stage data'!$A$3:$AE$128,8,FALSE)),ISBLANK(VLOOKUP($Y$7&amp;$AB15&amp;$Z15,'Stage data'!$A$3:$AE$128,8,FALSE))),"",VLOOKUP($Y$7&amp;$AB15&amp;$Z15,'Stage data'!$A$3:$AE$128,8,FALSE))</f>
        <v>7.5723830734966593E-2</v>
      </c>
      <c r="AG15" s="20">
        <f>IF(OR(ISERROR(VLOOKUP($Y$7&amp;$AB15&amp;$Z15,'Stage data'!$A$3:$AE$128,9,FALSE)),ISBLANK(VLOOKUP($Y$7&amp;$AB15&amp;$Z15,'Stage data'!$A$3:$AE$128,9,FALSE))),"",VLOOKUP($Y$7&amp;$AB15&amp;$Z15,'Stage data'!$A$3:$AE$128,9,FALSE))</f>
        <v>0.11971046770601336</v>
      </c>
      <c r="AH15" s="20">
        <f>IF(OR(ISERROR(VLOOKUP($Y$7&amp;$AB15&amp;$Z15,'Stage data'!$A$3:$AE$128,10,FALSE)),ISBLANK(VLOOKUP($Y$7&amp;$AB15&amp;$Z15,'Stage data'!$A$3:$AE$128,10,FALSE))),"",VLOOKUP($Y$7&amp;$AB15&amp;$Z15,'Stage data'!$A$3:$AE$128,10,FALSE))</f>
        <v>2.0044543429844099E-2</v>
      </c>
      <c r="AI15" s="20">
        <f>IF(OR(ISERROR(VLOOKUP($Y$7&amp;$AB15&amp;$Z15,'Stage data'!$A$3:$AE$128,11,FALSE)),ISBLANK(VLOOKUP($Y$7&amp;$AB15&amp;$Z15,'Stage data'!$A$3:$AE$128,11,FALSE))),"",VLOOKUP($Y$7&amp;$AB15&amp;$Z15,'Stage data'!$A$3:$AE$128,11,FALSE))</f>
        <v>2.5055679287305122E-2</v>
      </c>
      <c r="AJ15" s="20">
        <f>IF(OR(ISERROR(VLOOKUP($Y$7&amp;$AB15&amp;$Z15,'Stage data'!$A$3:$AE$128,12,FALSE)),ISBLANK(VLOOKUP($Y$7&amp;$AB15&amp;$Z15,'Stage data'!$A$3:$AE$128,12,FALSE))),"",VLOOKUP($Y$7&amp;$AB15&amp;$Z15,'Stage data'!$A$3:$AE$128,12,FALSE))</f>
        <v>0.67427616926503342</v>
      </c>
      <c r="AK15" s="62"/>
    </row>
    <row r="16" spans="1:50" ht="34.5" customHeight="1" x14ac:dyDescent="0.25">
      <c r="B16" s="55" t="s">
        <v>72</v>
      </c>
      <c r="D16" s="104" t="s">
        <v>14</v>
      </c>
      <c r="E16" s="105"/>
      <c r="F16" s="105"/>
      <c r="G16" s="105"/>
      <c r="H16" s="105"/>
      <c r="I16" s="105"/>
      <c r="J16" s="105"/>
      <c r="K16" s="105"/>
      <c r="L16" s="105"/>
      <c r="M16" s="105"/>
      <c r="N16" s="105"/>
      <c r="O16" s="105"/>
      <c r="P16" s="105"/>
      <c r="Q16" s="105"/>
      <c r="R16" s="105"/>
      <c r="S16" s="105"/>
      <c r="T16" s="105"/>
      <c r="U16" s="105"/>
      <c r="V16" s="105"/>
      <c r="W16" s="105"/>
      <c r="Y16" s="25"/>
      <c r="Z16" s="25" t="s">
        <v>39</v>
      </c>
      <c r="AA16" s="33"/>
      <c r="AB16" s="25" t="s">
        <v>1</v>
      </c>
      <c r="AC16" s="20">
        <f>IF(OR(ISERROR(VLOOKUP($Y$7&amp;$AB16&amp;$Z16,'Stage data'!$A$3:$AE$128,5,FALSE)),ISBLANK(VLOOKUP($Y$7&amp;$AB16&amp;$Z16,'Stage data'!$A$3:$AE$128,5,FALSE))),"",VLOOKUP($Y$7&amp;$AB16&amp;$Z16,'Stage data'!$A$3:$AE$128,5,FALSE))</f>
        <v>4.7486761003559336E-2</v>
      </c>
      <c r="AD16" s="20">
        <f>IF(OR(ISERROR(VLOOKUP($Y$7&amp;$AB16&amp;$Z16,'Stage data'!$A$3:$AE$128,6,FALSE)),ISBLANK(VLOOKUP($Y$7&amp;$AB16&amp;$Z16,'Stage data'!$A$3:$AE$128,6,FALSE))),"",VLOOKUP($Y$7&amp;$AB16&amp;$Z16,'Stage data'!$A$3:$AE$128,6,FALSE))</f>
        <v>7.0231790954075876E-2</v>
      </c>
      <c r="AE16" s="20">
        <f>IF(OR(ISERROR(VLOOKUP($Y$7&amp;$AB16&amp;$Z16,'Stage data'!$A$3:$AE$128,7,FALSE)),ISBLANK(VLOOKUP($Y$7&amp;$AB16&amp;$Z16,'Stage data'!$A$3:$AE$128,7,FALSE))),"",VLOOKUP($Y$7&amp;$AB16&amp;$Z16,'Stage data'!$A$3:$AE$128,7,FALSE))</f>
        <v>3.1773591457591802E-2</v>
      </c>
      <c r="AF16" s="20">
        <f>IF(OR(ISERROR(VLOOKUP($Y$7&amp;$AB16&amp;$Z16,'Stage data'!$A$3:$AE$128,8,FALSE)),ISBLANK(VLOOKUP($Y$7&amp;$AB16&amp;$Z16,'Stage data'!$A$3:$AE$128,8,FALSE))),"",VLOOKUP($Y$7&amp;$AB16&amp;$Z16,'Stage data'!$A$3:$AE$128,8,FALSE))</f>
        <v>5.6688948693462977E-2</v>
      </c>
      <c r="AG16" s="20">
        <f>IF(OR(ISERROR(VLOOKUP($Y$7&amp;$AB16&amp;$Z16,'Stage data'!$A$3:$AE$128,9,FALSE)),ISBLANK(VLOOKUP($Y$7&amp;$AB16&amp;$Z16,'Stage data'!$A$3:$AE$128,9,FALSE))),"",VLOOKUP($Y$7&amp;$AB16&amp;$Z16,'Stage data'!$A$3:$AE$128,9,FALSE))</f>
        <v>0.13169545967531904</v>
      </c>
      <c r="AH16" s="20">
        <f>IF(OR(ISERROR(VLOOKUP($Y$7&amp;$AB16&amp;$Z16,'Stage data'!$A$3:$AE$128,10,FALSE)),ISBLANK(VLOOKUP($Y$7&amp;$AB16&amp;$Z16,'Stage data'!$A$3:$AE$128,10,FALSE))),"",VLOOKUP($Y$7&amp;$AB16&amp;$Z16,'Stage data'!$A$3:$AE$128,10,FALSE))</f>
        <v>3.7242816216685473E-2</v>
      </c>
      <c r="AI16" s="20">
        <f>IF(OR(ISERROR(VLOOKUP($Y$7&amp;$AB16&amp;$Z16,'Stage data'!$A$3:$AE$128,11,FALSE)),ISBLANK(VLOOKUP($Y$7&amp;$AB16&amp;$Z16,'Stage data'!$A$3:$AE$128,11,FALSE))),"",VLOOKUP($Y$7&amp;$AB16&amp;$Z16,'Stage data'!$A$3:$AE$128,11,FALSE))</f>
        <v>0.12622623491622537</v>
      </c>
      <c r="AJ16" s="20">
        <f>IF(OR(ISERROR(VLOOKUP($Y$7&amp;$AB16&amp;$Z16,'Stage data'!$A$3:$AE$128,12,FALSE)),ISBLANK(VLOOKUP($Y$7&amp;$AB16&amp;$Z16,'Stage data'!$A$3:$AE$128,12,FALSE))),"",VLOOKUP($Y$7&amp;$AB16&amp;$Z16,'Stage data'!$A$3:$AE$128,12,FALSE))</f>
        <v>0.49865439708308013</v>
      </c>
      <c r="AK16" s="62"/>
    </row>
    <row r="17" spans="1:37" ht="27.75" customHeight="1" x14ac:dyDescent="0.25">
      <c r="D17" s="104" t="s">
        <v>115</v>
      </c>
      <c r="E17" s="105"/>
      <c r="F17" s="105"/>
      <c r="G17" s="105"/>
      <c r="H17" s="105"/>
      <c r="I17" s="105"/>
      <c r="J17" s="105"/>
      <c r="K17" s="105"/>
      <c r="L17" s="105"/>
      <c r="M17" s="105"/>
      <c r="N17" s="105"/>
      <c r="O17" s="105"/>
      <c r="P17" s="105"/>
      <c r="Q17" s="105"/>
      <c r="R17" s="105"/>
      <c r="S17" s="105"/>
      <c r="T17" s="105"/>
      <c r="U17" s="105"/>
      <c r="V17" s="105"/>
      <c r="W17" s="105"/>
      <c r="Y17" s="25"/>
      <c r="Z17" s="25" t="s">
        <v>39</v>
      </c>
      <c r="AA17" s="33"/>
      <c r="AB17" s="25" t="s">
        <v>2</v>
      </c>
      <c r="AC17" s="20">
        <f>IF(OR(ISERROR(VLOOKUP($Y$7&amp;$AB17&amp;$Z17,'Stage data'!$A$3:$AE$128,5,FALSE)),ISBLANK(VLOOKUP($Y$7&amp;$AB17&amp;$Z17,'Stage data'!$A$3:$AE$128,5,FALSE))),"",VLOOKUP($Y$7&amp;$AB17&amp;$Z17,'Stage data'!$A$3:$AE$128,5,FALSE))</f>
        <v>6.5809768637532129E-2</v>
      </c>
      <c r="AD17" s="20">
        <f>IF(OR(ISERROR(VLOOKUP($Y$7&amp;$AB17&amp;$Z17,'Stage data'!$A$3:$AE$128,6,FALSE)),ISBLANK(VLOOKUP($Y$7&amp;$AB17&amp;$Z17,'Stage data'!$A$3:$AE$128,6,FALSE))),"",VLOOKUP($Y$7&amp;$AB17&amp;$Z17,'Stage data'!$A$3:$AE$128,6,FALSE))</f>
        <v>0.11876606683804627</v>
      </c>
      <c r="AE17" s="20">
        <f>IF(OR(ISERROR(VLOOKUP($Y$7&amp;$AB17&amp;$Z17,'Stage data'!$A$3:$AE$128,7,FALSE)),ISBLANK(VLOOKUP($Y$7&amp;$AB17&amp;$Z17,'Stage data'!$A$3:$AE$128,7,FALSE))),"",VLOOKUP($Y$7&amp;$AB17&amp;$Z17,'Stage data'!$A$3:$AE$128,7,FALSE))</f>
        <v>9.8200514138817474E-2</v>
      </c>
      <c r="AF17" s="20">
        <f>IF(OR(ISERROR(VLOOKUP($Y$7&amp;$AB17&amp;$Z17,'Stage data'!$A$3:$AE$128,8,FALSE)),ISBLANK(VLOOKUP($Y$7&amp;$AB17&amp;$Z17,'Stage data'!$A$3:$AE$128,8,FALSE))),"",VLOOKUP($Y$7&amp;$AB17&amp;$Z17,'Stage data'!$A$3:$AE$128,8,FALSE))</f>
        <v>5.2956298200514139E-2</v>
      </c>
      <c r="AG17" s="20">
        <f>IF(OR(ISERROR(VLOOKUP($Y$7&amp;$AB17&amp;$Z17,'Stage data'!$A$3:$AE$128,9,FALSE)),ISBLANK(VLOOKUP($Y$7&amp;$AB17&amp;$Z17,'Stage data'!$A$3:$AE$128,9,FALSE))),"",VLOOKUP($Y$7&amp;$AB17&amp;$Z17,'Stage data'!$A$3:$AE$128,9,FALSE))</f>
        <v>8.0205655526992284E-2</v>
      </c>
      <c r="AH17" s="20">
        <f>IF(OR(ISERROR(VLOOKUP($Y$7&amp;$AB17&amp;$Z17,'Stage data'!$A$3:$AE$128,10,FALSE)),ISBLANK(VLOOKUP($Y$7&amp;$AB17&amp;$Z17,'Stage data'!$A$3:$AE$128,10,FALSE))),"",VLOOKUP($Y$7&amp;$AB17&amp;$Z17,'Stage data'!$A$3:$AE$128,10,FALSE))</f>
        <v>8.5347043701799491E-2</v>
      </c>
      <c r="AI17" s="20">
        <f>IF(OR(ISERROR(VLOOKUP($Y$7&amp;$AB17&amp;$Z17,'Stage data'!$A$3:$AE$128,11,FALSE)),ISBLANK(VLOOKUP($Y$7&amp;$AB17&amp;$Z17,'Stage data'!$A$3:$AE$128,11,FALSE))),"",VLOOKUP($Y$7&amp;$AB17&amp;$Z17,'Stage data'!$A$3:$AE$128,11,FALSE))</f>
        <v>0.24267352185089974</v>
      </c>
      <c r="AJ17" s="20">
        <f>IF(OR(ISERROR(VLOOKUP($Y$7&amp;$AB17&amp;$Z17,'Stage data'!$A$3:$AE$128,12,FALSE)),ISBLANK(VLOOKUP($Y$7&amp;$AB17&amp;$Z17,'Stage data'!$A$3:$AE$128,12,FALSE))),"",VLOOKUP($Y$7&amp;$AB17&amp;$Z17,'Stage data'!$A$3:$AE$128,12,FALSE))</f>
        <v>0.25604113110539845</v>
      </c>
      <c r="AK17" s="62"/>
    </row>
    <row r="18" spans="1:37" ht="33" customHeight="1" x14ac:dyDescent="0.25">
      <c r="D18" s="82" t="s">
        <v>95</v>
      </c>
      <c r="E18" s="82"/>
      <c r="F18" s="82"/>
      <c r="G18" s="82"/>
      <c r="H18" s="82"/>
      <c r="I18" s="82"/>
      <c r="J18" s="82"/>
      <c r="K18" s="82"/>
      <c r="L18" s="82"/>
      <c r="M18" s="82"/>
      <c r="N18" s="82"/>
      <c r="O18" s="82"/>
      <c r="P18" s="82"/>
      <c r="Q18" s="82"/>
      <c r="R18" s="82"/>
      <c r="S18" s="82"/>
      <c r="T18" s="82"/>
      <c r="U18" s="82"/>
      <c r="V18" s="82"/>
      <c r="W18" s="82"/>
      <c r="Y18" s="25"/>
      <c r="Z18" s="25" t="s">
        <v>39</v>
      </c>
      <c r="AA18" s="33"/>
      <c r="AB18" s="25" t="s">
        <v>32</v>
      </c>
      <c r="AC18" s="20">
        <f>IF(OR(ISERROR(VLOOKUP($Y$7&amp;$AB18&amp;$Z18,'Stage data'!$A$3:$AE$128,5,FALSE)),ISBLANK(VLOOKUP($Y$7&amp;$AB18&amp;$Z18,'Stage data'!$A$3:$AE$128,5,FALSE))),"",VLOOKUP($Y$7&amp;$AB18&amp;$Z18,'Stage data'!$A$3:$AE$128,5,FALSE))</f>
        <v>3.8391224862888484E-2</v>
      </c>
      <c r="AD18" s="20">
        <f>IF(OR(ISERROR(VLOOKUP($Y$7&amp;$AB18&amp;$Z18,'Stage data'!$A$3:$AE$128,6,FALSE)),ISBLANK(VLOOKUP($Y$7&amp;$AB18&amp;$Z18,'Stage data'!$A$3:$AE$128,6,FALSE))),"",VLOOKUP($Y$7&amp;$AB18&amp;$Z18,'Stage data'!$A$3:$AE$128,6,FALSE))</f>
        <v>0.15356489945155394</v>
      </c>
      <c r="AE18" s="20">
        <f>IF(OR(ISERROR(VLOOKUP($Y$7&amp;$AB18&amp;$Z18,'Stage data'!$A$3:$AE$128,7,FALSE)),ISBLANK(VLOOKUP($Y$7&amp;$AB18&amp;$Z18,'Stage data'!$A$3:$AE$128,7,FALSE))),"",VLOOKUP($Y$7&amp;$AB18&amp;$Z18,'Stage data'!$A$3:$AE$128,7,FALSE))</f>
        <v>8.226691042047532E-2</v>
      </c>
      <c r="AF18" s="20">
        <f>IF(OR(ISERROR(VLOOKUP($Y$7&amp;$AB18&amp;$Z18,'Stage data'!$A$3:$AE$128,8,FALSE)),ISBLANK(VLOOKUP($Y$7&amp;$AB18&amp;$Z18,'Stage data'!$A$3:$AE$128,8,FALSE))),"",VLOOKUP($Y$7&amp;$AB18&amp;$Z18,'Stage data'!$A$3:$AE$128,8,FALSE))</f>
        <v>6.0329067641681902E-2</v>
      </c>
      <c r="AG18" s="20">
        <f>IF(OR(ISERROR(VLOOKUP($Y$7&amp;$AB18&amp;$Z18,'Stage data'!$A$3:$AE$128,9,FALSE)),ISBLANK(VLOOKUP($Y$7&amp;$AB18&amp;$Z18,'Stage data'!$A$3:$AE$128,9,FALSE))),"",VLOOKUP($Y$7&amp;$AB18&amp;$Z18,'Stage data'!$A$3:$AE$128,9,FALSE))</f>
        <v>8.957952468007313E-2</v>
      </c>
      <c r="AH18" s="20">
        <f>IF(OR(ISERROR(VLOOKUP($Y$7&amp;$AB18&amp;$Z18,'Stage data'!$A$3:$AE$128,10,FALSE)),ISBLANK(VLOOKUP($Y$7&amp;$AB18&amp;$Z18,'Stage data'!$A$3:$AE$128,10,FALSE))),"",VLOOKUP($Y$7&amp;$AB18&amp;$Z18,'Stage data'!$A$3:$AE$128,10,FALSE))</f>
        <v>0.10786106032906764</v>
      </c>
      <c r="AI18" s="20">
        <f>IF(OR(ISERROR(VLOOKUP($Y$7&amp;$AB18&amp;$Z18,'Stage data'!$A$3:$AE$128,11,FALSE)),ISBLANK(VLOOKUP($Y$7&amp;$AB18&amp;$Z18,'Stage data'!$A$3:$AE$128,11,FALSE))),"",VLOOKUP($Y$7&amp;$AB18&amp;$Z18,'Stage data'!$A$3:$AE$128,11,FALSE))</f>
        <v>0.24680073126142596</v>
      </c>
      <c r="AJ18" s="20">
        <f>IF(OR(ISERROR(VLOOKUP($Y$7&amp;$AB18&amp;$Z18,'Stage data'!$A$3:$AE$128,12,FALSE)),ISBLANK(VLOOKUP($Y$7&amp;$AB18&amp;$Z18,'Stage data'!$A$3:$AE$128,12,FALSE))),"",VLOOKUP($Y$7&amp;$AB18&amp;$Z18,'Stage data'!$A$3:$AE$128,12,FALSE))</f>
        <v>0.22120658135283364</v>
      </c>
      <c r="AK18" s="62"/>
    </row>
    <row r="19" spans="1:37" x14ac:dyDescent="0.25">
      <c r="Y19" s="25"/>
      <c r="Z19" s="25" t="s">
        <v>39</v>
      </c>
      <c r="AA19" s="33"/>
      <c r="AB19" s="25" t="s">
        <v>3</v>
      </c>
      <c r="AC19" s="20">
        <f>IF(OR(ISERROR(VLOOKUP($Y$7&amp;$AB19&amp;$Z19,'Stage data'!$A$3:$AE$128,5,FALSE)),ISBLANK(VLOOKUP($Y$7&amp;$AB19&amp;$Z19,'Stage data'!$A$3:$AE$128,5,FALSE))),"",VLOOKUP($Y$7&amp;$AB19&amp;$Z19,'Stage data'!$A$3:$AE$128,5,FALSE))</f>
        <v>2.2644927536231884E-2</v>
      </c>
      <c r="AD19" s="20">
        <f>IF(OR(ISERROR(VLOOKUP($Y$7&amp;$AB19&amp;$Z19,'Stage data'!$A$3:$AE$128,6,FALSE)),ISBLANK(VLOOKUP($Y$7&amp;$AB19&amp;$Z19,'Stage data'!$A$3:$AE$128,6,FALSE))),"",VLOOKUP($Y$7&amp;$AB19&amp;$Z19,'Stage data'!$A$3:$AE$128,6,FALSE))</f>
        <v>0.10461956521739131</v>
      </c>
      <c r="AE19" s="20">
        <f>IF(OR(ISERROR(VLOOKUP($Y$7&amp;$AB19&amp;$Z19,'Stage data'!$A$3:$AE$128,7,FALSE)),ISBLANK(VLOOKUP($Y$7&amp;$AB19&amp;$Z19,'Stage data'!$A$3:$AE$128,7,FALSE))),"",VLOOKUP($Y$7&amp;$AB19&amp;$Z19,'Stage data'!$A$3:$AE$128,7,FALSE))</f>
        <v>0.15670289855072464</v>
      </c>
      <c r="AF19" s="20">
        <f>IF(OR(ISERROR(VLOOKUP($Y$7&amp;$AB19&amp;$Z19,'Stage data'!$A$3:$AE$128,8,FALSE)),ISBLANK(VLOOKUP($Y$7&amp;$AB19&amp;$Z19,'Stage data'!$A$3:$AE$128,8,FALSE))),"",VLOOKUP($Y$7&amp;$AB19&amp;$Z19,'Stage data'!$A$3:$AE$128,8,FALSE))</f>
        <v>8.605072463768116E-3</v>
      </c>
      <c r="AG19" s="20">
        <f>IF(OR(ISERROR(VLOOKUP($Y$7&amp;$AB19&amp;$Z19,'Stage data'!$A$3:$AE$128,9,FALSE)),ISBLANK(VLOOKUP($Y$7&amp;$AB19&amp;$Z19,'Stage data'!$A$3:$AE$128,9,FALSE))),"",VLOOKUP($Y$7&amp;$AB19&amp;$Z19,'Stage data'!$A$3:$AE$128,9,FALSE))</f>
        <v>2.5362318840579712E-2</v>
      </c>
      <c r="AH19" s="20">
        <f>IF(OR(ISERROR(VLOOKUP($Y$7&amp;$AB19&amp;$Z19,'Stage data'!$A$3:$AE$128,10,FALSE)),ISBLANK(VLOOKUP($Y$7&amp;$AB19&amp;$Z19,'Stage data'!$A$3:$AE$128,10,FALSE))),"",VLOOKUP($Y$7&amp;$AB19&amp;$Z19,'Stage data'!$A$3:$AE$128,10,FALSE))</f>
        <v>8.9221014492753617E-2</v>
      </c>
      <c r="AI19" s="20">
        <f>IF(OR(ISERROR(VLOOKUP($Y$7&amp;$AB19&amp;$Z19,'Stage data'!$A$3:$AE$128,11,FALSE)),ISBLANK(VLOOKUP($Y$7&amp;$AB19&amp;$Z19,'Stage data'!$A$3:$AE$128,11,FALSE))),"",VLOOKUP($Y$7&amp;$AB19&amp;$Z19,'Stage data'!$A$3:$AE$128,11,FALSE))</f>
        <v>0.54619565217391308</v>
      </c>
      <c r="AJ19" s="20">
        <f>IF(OR(ISERROR(VLOOKUP($Y$7&amp;$AB19&amp;$Z19,'Stage data'!$A$3:$AE$128,12,FALSE)),ISBLANK(VLOOKUP($Y$7&amp;$AB19&amp;$Z19,'Stage data'!$A$3:$AE$128,12,FALSE))),"",VLOOKUP($Y$7&amp;$AB19&amp;$Z19,'Stage data'!$A$3:$AE$128,12,FALSE))</f>
        <v>4.664855072463768E-2</v>
      </c>
      <c r="AK19" s="62"/>
    </row>
    <row r="20" spans="1:37" ht="15.75" customHeight="1" x14ac:dyDescent="0.25">
      <c r="Y20" s="25"/>
      <c r="Z20" s="25" t="s">
        <v>39</v>
      </c>
      <c r="AA20" s="33"/>
      <c r="AB20" s="25" t="s">
        <v>4</v>
      </c>
      <c r="AC20" s="20">
        <f>IF(OR(ISERROR(VLOOKUP($Y$7&amp;$AB20&amp;$Z20,'Stage data'!$A$3:$AE$128,5,FALSE)),ISBLANK(VLOOKUP($Y$7&amp;$AB20&amp;$Z20,'Stage data'!$A$3:$AE$128,5,FALSE))),"",VLOOKUP($Y$7&amp;$AB20&amp;$Z20,'Stage data'!$A$3:$AE$128,5,FALSE))</f>
        <v>0.11353711790393013</v>
      </c>
      <c r="AD20" s="20">
        <f>IF(OR(ISERROR(VLOOKUP($Y$7&amp;$AB20&amp;$Z20,'Stage data'!$A$3:$AE$128,6,FALSE)),ISBLANK(VLOOKUP($Y$7&amp;$AB20&amp;$Z20,'Stage data'!$A$3:$AE$128,6,FALSE))),"",VLOOKUP($Y$7&amp;$AB20&amp;$Z20,'Stage data'!$A$3:$AE$128,6,FALSE))</f>
        <v>0.10262008733624454</v>
      </c>
      <c r="AE20" s="20">
        <f>IF(OR(ISERROR(VLOOKUP($Y$7&amp;$AB20&amp;$Z20,'Stage data'!$A$3:$AE$128,7,FALSE)),ISBLANK(VLOOKUP($Y$7&amp;$AB20&amp;$Z20,'Stage data'!$A$3:$AE$128,7,FALSE))),"",VLOOKUP($Y$7&amp;$AB20&amp;$Z20,'Stage data'!$A$3:$AE$128,7,FALSE))</f>
        <v>4.8034934497816595E-2</v>
      </c>
      <c r="AF20" s="20">
        <f>IF(OR(ISERROR(VLOOKUP($Y$7&amp;$AB20&amp;$Z20,'Stage data'!$A$3:$AE$128,8,FALSE)),ISBLANK(VLOOKUP($Y$7&amp;$AB20&amp;$Z20,'Stage data'!$A$3:$AE$128,8,FALSE))),"",VLOOKUP($Y$7&amp;$AB20&amp;$Z20,'Stage data'!$A$3:$AE$128,8,FALSE))</f>
        <v>5.8951965065502182E-2</v>
      </c>
      <c r="AG20" s="20">
        <f>IF(OR(ISERROR(VLOOKUP($Y$7&amp;$AB20&amp;$Z20,'Stage data'!$A$3:$AE$128,9,FALSE)),ISBLANK(VLOOKUP($Y$7&amp;$AB20&amp;$Z20,'Stage data'!$A$3:$AE$128,9,FALSE))),"",VLOOKUP($Y$7&amp;$AB20&amp;$Z20,'Stage data'!$A$3:$AE$128,9,FALSE))</f>
        <v>8.7336244541484712E-2</v>
      </c>
      <c r="AH20" s="20">
        <f>IF(OR(ISERROR(VLOOKUP($Y$7&amp;$AB20&amp;$Z20,'Stage data'!$A$3:$AE$128,10,FALSE)),ISBLANK(VLOOKUP($Y$7&amp;$AB20&amp;$Z20,'Stage data'!$A$3:$AE$128,10,FALSE))),"",VLOOKUP($Y$7&amp;$AB20&amp;$Z20,'Stage data'!$A$3:$AE$128,10,FALSE))</f>
        <v>7.8602620087336247E-2</v>
      </c>
      <c r="AI20" s="20">
        <f>IF(OR(ISERROR(VLOOKUP($Y$7&amp;$AB20&amp;$Z20,'Stage data'!$A$3:$AE$128,11,FALSE)),ISBLANK(VLOOKUP($Y$7&amp;$AB20&amp;$Z20,'Stage data'!$A$3:$AE$128,11,FALSE))),"",VLOOKUP($Y$7&amp;$AB20&amp;$Z20,'Stage data'!$A$3:$AE$128,11,FALSE))</f>
        <v>0.20742358078602621</v>
      </c>
      <c r="AJ20" s="20">
        <f>IF(OR(ISERROR(VLOOKUP($Y$7&amp;$AB20&amp;$Z20,'Stage data'!$A$3:$AE$128,12,FALSE)),ISBLANK(VLOOKUP($Y$7&amp;$AB20&amp;$Z20,'Stage data'!$A$3:$AE$128,12,FALSE))),"",VLOOKUP($Y$7&amp;$AB20&amp;$Z20,'Stage data'!$A$3:$AE$128,12,FALSE))</f>
        <v>0.30349344978165937</v>
      </c>
      <c r="AK20" s="62"/>
    </row>
    <row r="21" spans="1:37" x14ac:dyDescent="0.25">
      <c r="Y21" s="25"/>
      <c r="Z21" s="25" t="s">
        <v>39</v>
      </c>
      <c r="AA21" s="33"/>
      <c r="AB21" s="25" t="s">
        <v>34</v>
      </c>
      <c r="AC21" s="20">
        <f>IF(OR(ISERROR(VLOOKUP($Y$7&amp;$AB21&amp;$Z21,'Stage data'!$A$3:$AE$128,5,FALSE)),ISBLANK(VLOOKUP($Y$7&amp;$AB21&amp;$Z21,'Stage data'!$A$3:$AE$128,5,FALSE))),"",VLOOKUP($Y$7&amp;$AB21&amp;$Z21,'Stage data'!$A$3:$AE$128,5,FALSE))</f>
        <v>4.6987495263357333E-2</v>
      </c>
      <c r="AD21" s="20">
        <f>IF(OR(ISERROR(VLOOKUP($Y$7&amp;$AB21&amp;$Z21,'Stage data'!$A$3:$AE$128,6,FALSE)),ISBLANK(VLOOKUP($Y$7&amp;$AB21&amp;$Z21,'Stage data'!$A$3:$AE$128,6,FALSE))),"",VLOOKUP($Y$7&amp;$AB21&amp;$Z21,'Stage data'!$A$3:$AE$128,6,FALSE))</f>
        <v>7.9521463757916966E-2</v>
      </c>
      <c r="AE21" s="20">
        <f>IF(OR(ISERROR(VLOOKUP($Y$7&amp;$AB21&amp;$Z21,'Stage data'!$A$3:$AE$128,7,FALSE)),ISBLANK(VLOOKUP($Y$7&amp;$AB21&amp;$Z21,'Stage data'!$A$3:$AE$128,7,FALSE))),"",VLOOKUP($Y$7&amp;$AB21&amp;$Z21,'Stage data'!$A$3:$AE$128,7,FALSE))</f>
        <v>5.3375196232339092E-2</v>
      </c>
      <c r="AF21" s="20">
        <f>IF(OR(ISERROR(VLOOKUP($Y$7&amp;$AB21&amp;$Z21,'Stage data'!$A$3:$AE$128,8,FALSE)),ISBLANK(VLOOKUP($Y$7&amp;$AB21&amp;$Z21,'Stage data'!$A$3:$AE$128,8,FALSE))),"",VLOOKUP($Y$7&amp;$AB21&amp;$Z21,'Stage data'!$A$3:$AE$128,8,FALSE))</f>
        <v>5.256320034645158E-2</v>
      </c>
      <c r="AG21" s="20">
        <f>IF(OR(ISERROR(VLOOKUP($Y$7&amp;$AB21&amp;$Z21,'Stage data'!$A$3:$AE$128,9,FALSE)),ISBLANK(VLOOKUP($Y$7&amp;$AB21&amp;$Z21,'Stage data'!$A$3:$AE$128,9,FALSE))),"",VLOOKUP($Y$7&amp;$AB21&amp;$Z21,'Stage data'!$A$3:$AE$128,9,FALSE))</f>
        <v>0.11005250906728739</v>
      </c>
      <c r="AH21" s="20">
        <f>IF(OR(ISERROR(VLOOKUP($Y$7&amp;$AB21&amp;$Z21,'Stage data'!$A$3:$AE$128,10,FALSE)),ISBLANK(VLOOKUP($Y$7&amp;$AB21&amp;$Z21,'Stage data'!$A$3:$AE$128,10,FALSE))),"",VLOOKUP($Y$7&amp;$AB21&amp;$Z21,'Stage data'!$A$3:$AE$128,10,FALSE))</f>
        <v>4.9964813511611542E-2</v>
      </c>
      <c r="AI21" s="20">
        <f>IF(OR(ISERROR(VLOOKUP($Y$7&amp;$AB21&amp;$Z21,'Stage data'!$A$3:$AE$128,11,FALSE)),ISBLANK(VLOOKUP($Y$7&amp;$AB21&amp;$Z21,'Stage data'!$A$3:$AE$128,11,FALSE))),"",VLOOKUP($Y$7&amp;$AB21&amp;$Z21,'Stage data'!$A$3:$AE$128,11,FALSE))</f>
        <v>0.18443133221458344</v>
      </c>
      <c r="AJ21" s="20">
        <f>IF(OR(ISERROR(VLOOKUP($Y$7&amp;$AB21&amp;$Z21,'Stage data'!$A$3:$AE$128,12,FALSE)),ISBLANK(VLOOKUP($Y$7&amp;$AB21&amp;$Z21,'Stage data'!$A$3:$AE$128,12,FALSE))),"",VLOOKUP($Y$7&amp;$AB21&amp;$Z21,'Stage data'!$A$3:$AE$128,12,FALSE))</f>
        <v>0.42310398960645268</v>
      </c>
      <c r="AK21" s="62"/>
    </row>
    <row r="22" spans="1:37" x14ac:dyDescent="0.25">
      <c r="Y22" s="25"/>
      <c r="Z22" s="25"/>
      <c r="AA22" s="33"/>
      <c r="AB22" s="25"/>
      <c r="AC22" s="20"/>
      <c r="AD22" s="20"/>
      <c r="AE22" s="20"/>
      <c r="AF22" s="20"/>
      <c r="AG22" s="20"/>
      <c r="AH22" s="20"/>
      <c r="AI22" s="20"/>
      <c r="AJ22" s="20"/>
      <c r="AK22" s="62"/>
    </row>
    <row r="23" spans="1:37" x14ac:dyDescent="0.25">
      <c r="Y23" s="25"/>
      <c r="Z23" s="25" t="s">
        <v>4</v>
      </c>
      <c r="AA23" s="25" t="s">
        <v>4</v>
      </c>
      <c r="AB23" s="25" t="s">
        <v>0</v>
      </c>
      <c r="AC23" s="20">
        <f>IF(OR(ISERROR(VLOOKUP($Y$7&amp;$AB23&amp;$Z23,'Stage data'!$A$3:$AE$128,5,FALSE)),ISBLANK(VLOOKUP($Y$7&amp;$AB23&amp;$Z23,'Stage data'!$A$3:$AE$128,5,FALSE))),"",VLOOKUP($Y$7&amp;$AB23&amp;$Z23,'Stage data'!$A$3:$AE$128,5,FALSE))</f>
        <v>0.16650943396226414</v>
      </c>
      <c r="AD23" s="20">
        <f>IF(OR(ISERROR(VLOOKUP($Y$7&amp;$AB23&amp;$Z23,'Stage data'!$A$3:$AE$128,6,FALSE)),ISBLANK(VLOOKUP($Y$7&amp;$AB23&amp;$Z23,'Stage data'!$A$3:$AE$128,6,FALSE))),"",VLOOKUP($Y$7&amp;$AB23&amp;$Z23,'Stage data'!$A$3:$AE$128,6,FALSE))</f>
        <v>1.0377358490566037E-2</v>
      </c>
      <c r="AE23" s="20">
        <f>IF(OR(ISERROR(VLOOKUP($Y$7&amp;$AB23&amp;$Z23,'Stage data'!$A$3:$AE$128,7,FALSE)),ISBLANK(VLOOKUP($Y$7&amp;$AB23&amp;$Z23,'Stage data'!$A$3:$AE$128,7,FALSE))),"",VLOOKUP($Y$7&amp;$AB23&amp;$Z23,'Stage data'!$A$3:$AE$128,7,FALSE))</f>
        <v>3.2547169811320754E-2</v>
      </c>
      <c r="AF23" s="20">
        <f>IF(OR(ISERROR(VLOOKUP($Y$7&amp;$AB23&amp;$Z23,'Stage data'!$A$3:$AE$128,8,FALSE)),ISBLANK(VLOOKUP($Y$7&amp;$AB23&amp;$Z23,'Stage data'!$A$3:$AE$128,8,FALSE))),"",VLOOKUP($Y$7&amp;$AB23&amp;$Z23,'Stage data'!$A$3:$AE$128,8,FALSE))</f>
        <v>4.0566037735849055E-2</v>
      </c>
      <c r="AG23" s="20">
        <f>IF(OR(ISERROR(VLOOKUP($Y$7&amp;$AB23&amp;$Z23,'Stage data'!$A$3:$AE$128,9,FALSE)),ISBLANK(VLOOKUP($Y$7&amp;$AB23&amp;$Z23,'Stage data'!$A$3:$AE$128,9,FALSE))),"",VLOOKUP($Y$7&amp;$AB23&amp;$Z23,'Stage data'!$A$3:$AE$128,9,FALSE))</f>
        <v>0.31650943396226416</v>
      </c>
      <c r="AH23" s="20">
        <f>IF(OR(ISERROR(VLOOKUP($Y$7&amp;$AB23&amp;$Z23,'Stage data'!$A$3:$AE$128,10,FALSE)),ISBLANK(VLOOKUP($Y$7&amp;$AB23&amp;$Z23,'Stage data'!$A$3:$AE$128,10,FALSE))),"",VLOOKUP($Y$7&amp;$AB23&amp;$Z23,'Stage data'!$A$3:$AE$128,10,FALSE))</f>
        <v>8.962264150943396E-3</v>
      </c>
      <c r="AI23" s="20">
        <f>IF(OR(ISERROR(VLOOKUP($Y$7&amp;$AB23&amp;$Z23,'Stage data'!$A$3:$AE$128,11,FALSE)),ISBLANK(VLOOKUP($Y$7&amp;$AB23&amp;$Z23,'Stage data'!$A$3:$AE$128,11,FALSE))),"",VLOOKUP($Y$7&amp;$AB23&amp;$Z23,'Stage data'!$A$3:$AE$128,11,FALSE))</f>
        <v>0.20283018867924529</v>
      </c>
      <c r="AJ23" s="20">
        <f>IF(OR(ISERROR(VLOOKUP($Y$7&amp;$AB23&amp;$Z23,'Stage data'!$A$3:$AE$128,12,FALSE)),ISBLANK(VLOOKUP($Y$7&amp;$AB23&amp;$Z23,'Stage data'!$A$3:$AE$128,12,FALSE))),"",VLOOKUP($Y$7&amp;$AB23&amp;$Z23,'Stage data'!$A$3:$AE$128,12,FALSE))</f>
        <v>0.22169811320754718</v>
      </c>
      <c r="AK23" s="62"/>
    </row>
    <row r="24" spans="1:37" ht="15.75" x14ac:dyDescent="0.25">
      <c r="A24" s="7"/>
      <c r="Y24" s="25"/>
      <c r="Z24" s="25" t="s">
        <v>4</v>
      </c>
      <c r="AA24" s="33"/>
      <c r="AB24" s="25" t="s">
        <v>1</v>
      </c>
      <c r="AC24" s="20">
        <f>IF(OR(ISERROR(VLOOKUP($Y$7&amp;$AB24&amp;$Z24,'Stage data'!$A$3:$AE$128,5,FALSE)),ISBLANK(VLOOKUP($Y$7&amp;$AB24&amp;$Z24,'Stage data'!$A$3:$AE$128,5,FALSE))),"",VLOOKUP($Y$7&amp;$AB24&amp;$Z24,'Stage data'!$A$3:$AE$128,5,FALSE))</f>
        <v>0.11980277185501066</v>
      </c>
      <c r="AD24" s="20">
        <f>IF(OR(ISERROR(VLOOKUP($Y$7&amp;$AB24&amp;$Z24,'Stage data'!$A$3:$AE$128,6,FALSE)),ISBLANK(VLOOKUP($Y$7&amp;$AB24&amp;$Z24,'Stage data'!$A$3:$AE$128,6,FALSE))),"",VLOOKUP($Y$7&amp;$AB24&amp;$Z24,'Stage data'!$A$3:$AE$128,6,FALSE))</f>
        <v>2.1855010660980809E-2</v>
      </c>
      <c r="AE24" s="20">
        <f>IF(OR(ISERROR(VLOOKUP($Y$7&amp;$AB24&amp;$Z24,'Stage data'!$A$3:$AE$128,7,FALSE)),ISBLANK(VLOOKUP($Y$7&amp;$AB24&amp;$Z24,'Stage data'!$A$3:$AE$128,7,FALSE))),"",VLOOKUP($Y$7&amp;$AB24&amp;$Z24,'Stage data'!$A$3:$AE$128,7,FALSE))</f>
        <v>1.7723880597014924E-2</v>
      </c>
      <c r="AF24" s="20">
        <f>IF(OR(ISERROR(VLOOKUP($Y$7&amp;$AB24&amp;$Z24,'Stage data'!$A$3:$AE$128,8,FALSE)),ISBLANK(VLOOKUP($Y$7&amp;$AB24&amp;$Z24,'Stage data'!$A$3:$AE$128,8,FALSE))),"",VLOOKUP($Y$7&amp;$AB24&amp;$Z24,'Stage data'!$A$3:$AE$128,8,FALSE))</f>
        <v>4.2643923240938165E-2</v>
      </c>
      <c r="AG24" s="20">
        <f>IF(OR(ISERROR(VLOOKUP($Y$7&amp;$AB24&amp;$Z24,'Stage data'!$A$3:$AE$128,9,FALSE)),ISBLANK(VLOOKUP($Y$7&amp;$AB24&amp;$Z24,'Stage data'!$A$3:$AE$128,9,FALSE))),"",VLOOKUP($Y$7&amp;$AB24&amp;$Z24,'Stage data'!$A$3:$AE$128,9,FALSE))</f>
        <v>0.11580490405117271</v>
      </c>
      <c r="AH24" s="20">
        <f>IF(OR(ISERROR(VLOOKUP($Y$7&amp;$AB24&amp;$Z24,'Stage data'!$A$3:$AE$128,10,FALSE)),ISBLANK(VLOOKUP($Y$7&amp;$AB24&amp;$Z24,'Stage data'!$A$3:$AE$128,10,FALSE))),"",VLOOKUP($Y$7&amp;$AB24&amp;$Z24,'Stage data'!$A$3:$AE$128,10,FALSE))</f>
        <v>1.42590618336887E-2</v>
      </c>
      <c r="AI24" s="20">
        <f>IF(OR(ISERROR(VLOOKUP($Y$7&amp;$AB24&amp;$Z24,'Stage data'!$A$3:$AE$128,11,FALSE)),ISBLANK(VLOOKUP($Y$7&amp;$AB24&amp;$Z24,'Stage data'!$A$3:$AE$128,11,FALSE))),"",VLOOKUP($Y$7&amp;$AB24&amp;$Z24,'Stage data'!$A$3:$AE$128,11,FALSE))</f>
        <v>0.43256929637526653</v>
      </c>
      <c r="AJ24" s="20">
        <f>IF(OR(ISERROR(VLOOKUP($Y$7&amp;$AB24&amp;$Z24,'Stage data'!$A$3:$AE$128,12,FALSE)),ISBLANK(VLOOKUP($Y$7&amp;$AB24&amp;$Z24,'Stage data'!$A$3:$AE$128,12,FALSE))),"",VLOOKUP($Y$7&amp;$AB24&amp;$Z24,'Stage data'!$A$3:$AE$128,12,FALSE))</f>
        <v>0.23534115138592751</v>
      </c>
      <c r="AK24" s="62"/>
    </row>
    <row r="25" spans="1:37" x14ac:dyDescent="0.25">
      <c r="Y25" s="25"/>
      <c r="Z25" s="25" t="s">
        <v>4</v>
      </c>
      <c r="AA25" s="33"/>
      <c r="AB25" s="25" t="s">
        <v>2</v>
      </c>
      <c r="AC25" s="20">
        <f>IF(OR(ISERROR(VLOOKUP($Y$7&amp;$AB25&amp;$Z25,'Stage data'!$A$3:$AE$128,5,FALSE)),ISBLANK(VLOOKUP($Y$7&amp;$AB25&amp;$Z25,'Stage data'!$A$3:$AE$128,5,FALSE))),"",VLOOKUP($Y$7&amp;$AB25&amp;$Z25,'Stage data'!$A$3:$AE$128,5,FALSE))</f>
        <v>0.17496171516079634</v>
      </c>
      <c r="AD25" s="20">
        <f>IF(OR(ISERROR(VLOOKUP($Y$7&amp;$AB25&amp;$Z25,'Stage data'!$A$3:$AE$128,6,FALSE)),ISBLANK(VLOOKUP($Y$7&amp;$AB25&amp;$Z25,'Stage data'!$A$3:$AE$128,6,FALSE))),"",VLOOKUP($Y$7&amp;$AB25&amp;$Z25,'Stage data'!$A$3:$AE$128,6,FALSE))</f>
        <v>4.7856049004594184E-2</v>
      </c>
      <c r="AE25" s="20">
        <f>IF(OR(ISERROR(VLOOKUP($Y$7&amp;$AB25&amp;$Z25,'Stage data'!$A$3:$AE$128,7,FALSE)),ISBLANK(VLOOKUP($Y$7&amp;$AB25&amp;$Z25,'Stage data'!$A$3:$AE$128,7,FALSE))),"",VLOOKUP($Y$7&amp;$AB25&amp;$Z25,'Stage data'!$A$3:$AE$128,7,FALSE))</f>
        <v>6.6998468606431855E-2</v>
      </c>
      <c r="AF25" s="20">
        <f>IF(OR(ISERROR(VLOOKUP($Y$7&amp;$AB25&amp;$Z25,'Stage data'!$A$3:$AE$128,8,FALSE)),ISBLANK(VLOOKUP($Y$7&amp;$AB25&amp;$Z25,'Stage data'!$A$3:$AE$128,8,FALSE))),"",VLOOKUP($Y$7&amp;$AB25&amp;$Z25,'Stage data'!$A$3:$AE$128,8,FALSE))</f>
        <v>4.0964777947932622E-2</v>
      </c>
      <c r="AG25" s="20">
        <f>IF(OR(ISERROR(VLOOKUP($Y$7&amp;$AB25&amp;$Z25,'Stage data'!$A$3:$AE$128,9,FALSE)),ISBLANK(VLOOKUP($Y$7&amp;$AB25&amp;$Z25,'Stage data'!$A$3:$AE$128,9,FALSE))),"",VLOOKUP($Y$7&amp;$AB25&amp;$Z25,'Stage data'!$A$3:$AE$128,9,FALSE))</f>
        <v>8.8820826952526799E-2</v>
      </c>
      <c r="AH25" s="20">
        <f>IF(OR(ISERROR(VLOOKUP($Y$7&amp;$AB25&amp;$Z25,'Stage data'!$A$3:$AE$128,10,FALSE)),ISBLANK(VLOOKUP($Y$7&amp;$AB25&amp;$Z25,'Stage data'!$A$3:$AE$128,10,FALSE))),"",VLOOKUP($Y$7&amp;$AB25&amp;$Z25,'Stage data'!$A$3:$AE$128,10,FALSE))</f>
        <v>3.8667687595712097E-2</v>
      </c>
      <c r="AI25" s="20">
        <f>IF(OR(ISERROR(VLOOKUP($Y$7&amp;$AB25&amp;$Z25,'Stage data'!$A$3:$AE$128,11,FALSE)),ISBLANK(VLOOKUP($Y$7&amp;$AB25&amp;$Z25,'Stage data'!$A$3:$AE$128,11,FALSE))),"",VLOOKUP($Y$7&amp;$AB25&amp;$Z25,'Stage data'!$A$3:$AE$128,11,FALSE))</f>
        <v>0.44372128637059727</v>
      </c>
      <c r="AJ25" s="20">
        <f>IF(OR(ISERROR(VLOOKUP($Y$7&amp;$AB25&amp;$Z25,'Stage data'!$A$3:$AE$128,12,FALSE)),ISBLANK(VLOOKUP($Y$7&amp;$AB25&amp;$Z25,'Stage data'!$A$3:$AE$128,12,FALSE))),"",VLOOKUP($Y$7&amp;$AB25&amp;$Z25,'Stage data'!$A$3:$AE$128,12,FALSE))</f>
        <v>9.8009188361408886E-2</v>
      </c>
      <c r="AK25" s="62"/>
    </row>
    <row r="26" spans="1:37" ht="15.75" x14ac:dyDescent="0.25">
      <c r="A26" s="7"/>
      <c r="Y26" s="25"/>
      <c r="Z26" s="25" t="s">
        <v>4</v>
      </c>
      <c r="AA26" s="33"/>
      <c r="AB26" s="25" t="s">
        <v>32</v>
      </c>
      <c r="AC26" s="20">
        <f>IF(OR(ISERROR(VLOOKUP($Y$7&amp;$AB26&amp;$Z26,'Stage data'!$A$3:$AE$128,5,FALSE)),ISBLANK(VLOOKUP($Y$7&amp;$AB26&amp;$Z26,'Stage data'!$A$3:$AE$128,5,FALSE))),"",VLOOKUP($Y$7&amp;$AB26&amp;$Z26,'Stage data'!$A$3:$AE$128,5,FALSE))</f>
        <v>0.18037135278514588</v>
      </c>
      <c r="AD26" s="20">
        <f>IF(OR(ISERROR(VLOOKUP($Y$7&amp;$AB26&amp;$Z26,'Stage data'!$A$3:$AE$128,6,FALSE)),ISBLANK(VLOOKUP($Y$7&amp;$AB26&amp;$Z26,'Stage data'!$A$3:$AE$128,6,FALSE))),"",VLOOKUP($Y$7&amp;$AB26&amp;$Z26,'Stage data'!$A$3:$AE$128,6,FALSE))</f>
        <v>8.6206896551724144E-2</v>
      </c>
      <c r="AE26" s="20">
        <f>IF(OR(ISERROR(VLOOKUP($Y$7&amp;$AB26&amp;$Z26,'Stage data'!$A$3:$AE$128,7,FALSE)),ISBLANK(VLOOKUP($Y$7&amp;$AB26&amp;$Z26,'Stage data'!$A$3:$AE$128,7,FALSE))),"",VLOOKUP($Y$7&amp;$AB26&amp;$Z26,'Stage data'!$A$3:$AE$128,7,FALSE))</f>
        <v>4.5092838196286469E-2</v>
      </c>
      <c r="AF26" s="20">
        <f>IF(OR(ISERROR(VLOOKUP($Y$7&amp;$AB26&amp;$Z26,'Stage data'!$A$3:$AE$128,8,FALSE)),ISBLANK(VLOOKUP($Y$7&amp;$AB26&amp;$Z26,'Stage data'!$A$3:$AE$128,8,FALSE))),"",VLOOKUP($Y$7&amp;$AB26&amp;$Z26,'Stage data'!$A$3:$AE$128,8,FALSE))</f>
        <v>4.5092838196286469E-2</v>
      </c>
      <c r="AG26" s="20">
        <f>IF(OR(ISERROR(VLOOKUP($Y$7&amp;$AB26&amp;$Z26,'Stage data'!$A$3:$AE$128,9,FALSE)),ISBLANK(VLOOKUP($Y$7&amp;$AB26&amp;$Z26,'Stage data'!$A$3:$AE$128,9,FALSE))),"",VLOOKUP($Y$7&amp;$AB26&amp;$Z26,'Stage data'!$A$3:$AE$128,9,FALSE))</f>
        <v>0.10212201591511937</v>
      </c>
      <c r="AH26" s="20">
        <f>IF(OR(ISERROR(VLOOKUP($Y$7&amp;$AB26&amp;$Z26,'Stage data'!$A$3:$AE$128,10,FALSE)),ISBLANK(VLOOKUP($Y$7&amp;$AB26&amp;$Z26,'Stage data'!$A$3:$AE$128,10,FALSE))),"",VLOOKUP($Y$7&amp;$AB26&amp;$Z26,'Stage data'!$A$3:$AE$128,10,FALSE))</f>
        <v>4.7745358090185673E-2</v>
      </c>
      <c r="AI26" s="20">
        <f>IF(OR(ISERROR(VLOOKUP($Y$7&amp;$AB26&amp;$Z26,'Stage data'!$A$3:$AE$128,11,FALSE)),ISBLANK(VLOOKUP($Y$7&amp;$AB26&amp;$Z26,'Stage data'!$A$3:$AE$128,11,FALSE))),"",VLOOKUP($Y$7&amp;$AB26&amp;$Z26,'Stage data'!$A$3:$AE$128,11,FALSE))</f>
        <v>0.41114058355437666</v>
      </c>
      <c r="AJ26" s="20">
        <f>IF(OR(ISERROR(VLOOKUP($Y$7&amp;$AB26&amp;$Z26,'Stage data'!$A$3:$AE$128,12,FALSE)),ISBLANK(VLOOKUP($Y$7&amp;$AB26&amp;$Z26,'Stage data'!$A$3:$AE$128,12,FALSE))),"",VLOOKUP($Y$7&amp;$AB26&amp;$Z26,'Stage data'!$A$3:$AE$128,12,FALSE))</f>
        <v>8.2228116710875335E-2</v>
      </c>
      <c r="AK26" s="62"/>
    </row>
    <row r="27" spans="1:37" x14ac:dyDescent="0.25">
      <c r="Y27" s="25"/>
      <c r="Z27" s="25" t="s">
        <v>4</v>
      </c>
      <c r="AA27" s="33"/>
      <c r="AB27" s="25" t="s">
        <v>3</v>
      </c>
      <c r="AC27" s="20">
        <f>IF(OR(ISERROR(VLOOKUP($Y$7&amp;$AB27&amp;$Z27,'Stage data'!$A$3:$AE$128,5,FALSE)),ISBLANK(VLOOKUP($Y$7&amp;$AB27&amp;$Z27,'Stage data'!$A$3:$AE$128,5,FALSE))),"",VLOOKUP($Y$7&amp;$AB27&amp;$Z27,'Stage data'!$A$3:$AE$128,5,FALSE))</f>
        <v>4.2746113989637305E-2</v>
      </c>
      <c r="AD27" s="20">
        <f>IF(OR(ISERROR(VLOOKUP($Y$7&amp;$AB27&amp;$Z27,'Stage data'!$A$3:$AE$128,6,FALSE)),ISBLANK(VLOOKUP($Y$7&amp;$AB27&amp;$Z27,'Stage data'!$A$3:$AE$128,6,FALSE))),"",VLOOKUP($Y$7&amp;$AB27&amp;$Z27,'Stage data'!$A$3:$AE$128,6,FALSE))</f>
        <v>2.0077720207253884E-2</v>
      </c>
      <c r="AE27" s="20">
        <f>IF(OR(ISERROR(VLOOKUP($Y$7&amp;$AB27&amp;$Z27,'Stage data'!$A$3:$AE$128,7,FALSE)),ISBLANK(VLOOKUP($Y$7&amp;$AB27&amp;$Z27,'Stage data'!$A$3:$AE$128,7,FALSE))),"",VLOOKUP($Y$7&amp;$AB27&amp;$Z27,'Stage data'!$A$3:$AE$128,7,FALSE))</f>
        <v>4.145077720207254E-2</v>
      </c>
      <c r="AF27" s="20">
        <f>IF(OR(ISERROR(VLOOKUP($Y$7&amp;$AB27&amp;$Z27,'Stage data'!$A$3:$AE$128,8,FALSE)),ISBLANK(VLOOKUP($Y$7&amp;$AB27&amp;$Z27,'Stage data'!$A$3:$AE$128,8,FALSE))),"",VLOOKUP($Y$7&amp;$AB27&amp;$Z27,'Stage data'!$A$3:$AE$128,8,FALSE))</f>
        <v>3.8860103626943004E-3</v>
      </c>
      <c r="AG27" s="20">
        <f>IF(OR(ISERROR(VLOOKUP($Y$7&amp;$AB27&amp;$Z27,'Stage data'!$A$3:$AE$128,9,FALSE)),ISBLANK(VLOOKUP($Y$7&amp;$AB27&amp;$Z27,'Stage data'!$A$3:$AE$128,9,FALSE))),"",VLOOKUP($Y$7&amp;$AB27&amp;$Z27,'Stage data'!$A$3:$AE$128,9,FALSE))</f>
        <v>1.3601036269430052E-2</v>
      </c>
      <c r="AH27" s="20">
        <f>IF(OR(ISERROR(VLOOKUP($Y$7&amp;$AB27&amp;$Z27,'Stage data'!$A$3:$AE$128,10,FALSE)),ISBLANK(VLOOKUP($Y$7&amp;$AB27&amp;$Z27,'Stage data'!$A$3:$AE$128,10,FALSE))),"",VLOOKUP($Y$7&amp;$AB27&amp;$Z27,'Stage data'!$A$3:$AE$128,10,FALSE))</f>
        <v>1.4896373056994818E-2</v>
      </c>
      <c r="AI27" s="20">
        <f>IF(OR(ISERROR(VLOOKUP($Y$7&amp;$AB27&amp;$Z27,'Stage data'!$A$3:$AE$128,11,FALSE)),ISBLANK(VLOOKUP($Y$7&amp;$AB27&amp;$Z27,'Stage data'!$A$3:$AE$128,11,FALSE))),"",VLOOKUP($Y$7&amp;$AB27&amp;$Z27,'Stage data'!$A$3:$AE$128,11,FALSE))</f>
        <v>0.84715025906735753</v>
      </c>
      <c r="AJ27" s="20">
        <f>IF(OR(ISERROR(VLOOKUP($Y$7&amp;$AB27&amp;$Z27,'Stage data'!$A$3:$AE$128,12,FALSE)),ISBLANK(VLOOKUP($Y$7&amp;$AB27&amp;$Z27,'Stage data'!$A$3:$AE$128,12,FALSE))),"",VLOOKUP($Y$7&amp;$AB27&amp;$Z27,'Stage data'!$A$3:$AE$128,12,FALSE))</f>
        <v>1.6191709844559584E-2</v>
      </c>
      <c r="AK27" s="62"/>
    </row>
    <row r="28" spans="1:37" x14ac:dyDescent="0.25">
      <c r="Y28" s="25"/>
      <c r="Z28" s="25" t="s">
        <v>4</v>
      </c>
      <c r="AA28" s="33"/>
      <c r="AB28" s="25" t="s">
        <v>4</v>
      </c>
      <c r="AC28" s="20">
        <f>IF(OR(ISERROR(VLOOKUP($Y$7&amp;$AB28&amp;$Z28,'Stage data'!$A$3:$AE$128,5,FALSE)),ISBLANK(VLOOKUP($Y$7&amp;$AB28&amp;$Z28,'Stage data'!$A$3:$AE$128,5,FALSE))),"",VLOOKUP($Y$7&amp;$AB28&amp;$Z28,'Stage data'!$A$3:$AE$128,5,FALSE))</f>
        <v>0.1901081916537867</v>
      </c>
      <c r="AD28" s="20">
        <f>IF(OR(ISERROR(VLOOKUP($Y$7&amp;$AB28&amp;$Z28,'Stage data'!$A$3:$AE$128,6,FALSE)),ISBLANK(VLOOKUP($Y$7&amp;$AB28&amp;$Z28,'Stage data'!$A$3:$AE$128,6,FALSE))),"",VLOOKUP($Y$7&amp;$AB28&amp;$Z28,'Stage data'!$A$3:$AE$128,6,FALSE))</f>
        <v>2.6275115919629059E-2</v>
      </c>
      <c r="AE28" s="20">
        <f>IF(OR(ISERROR(VLOOKUP($Y$7&amp;$AB28&amp;$Z28,'Stage data'!$A$3:$AE$128,7,FALSE)),ISBLANK(VLOOKUP($Y$7&amp;$AB28&amp;$Z28,'Stage data'!$A$3:$AE$128,7,FALSE))),"",VLOOKUP($Y$7&amp;$AB28&amp;$Z28,'Stage data'!$A$3:$AE$128,7,FALSE))</f>
        <v>7.6506955177743433E-2</v>
      </c>
      <c r="AF28" s="20">
        <f>IF(OR(ISERROR(VLOOKUP($Y$7&amp;$AB28&amp;$Z28,'Stage data'!$A$3:$AE$128,8,FALSE)),ISBLANK(VLOOKUP($Y$7&amp;$AB28&amp;$Z28,'Stage data'!$A$3:$AE$128,8,FALSE))),"",VLOOKUP($Y$7&amp;$AB28&amp;$Z28,'Stage data'!$A$3:$AE$128,8,FALSE))</f>
        <v>4.4049459041731069E-2</v>
      </c>
      <c r="AG28" s="20">
        <f>IF(OR(ISERROR(VLOOKUP($Y$7&amp;$AB28&amp;$Z28,'Stage data'!$A$3:$AE$128,9,FALSE)),ISBLANK(VLOOKUP($Y$7&amp;$AB28&amp;$Z28,'Stage data'!$A$3:$AE$128,9,FALSE))),"",VLOOKUP($Y$7&amp;$AB28&amp;$Z28,'Stage data'!$A$3:$AE$128,9,FALSE))</f>
        <v>8.3462132921174659E-2</v>
      </c>
      <c r="AH28" s="20">
        <f>IF(OR(ISERROR(VLOOKUP($Y$7&amp;$AB28&amp;$Z28,'Stage data'!$A$3:$AE$128,10,FALSE)),ISBLANK(VLOOKUP($Y$7&amp;$AB28&amp;$Z28,'Stage data'!$A$3:$AE$128,10,FALSE))),"",VLOOKUP($Y$7&amp;$AB28&amp;$Z28,'Stage data'!$A$3:$AE$128,10,FALSE))</f>
        <v>3.4775888717156103E-2</v>
      </c>
      <c r="AI28" s="20">
        <f>IF(OR(ISERROR(VLOOKUP($Y$7&amp;$AB28&amp;$Z28,'Stage data'!$A$3:$AE$128,11,FALSE)),ISBLANK(VLOOKUP($Y$7&amp;$AB28&amp;$Z28,'Stage data'!$A$3:$AE$128,11,FALSE))),"",VLOOKUP($Y$7&amp;$AB28&amp;$Z28,'Stage data'!$A$3:$AE$128,11,FALSE))</f>
        <v>0.48531684698608962</v>
      </c>
      <c r="AJ28" s="20">
        <f>IF(OR(ISERROR(VLOOKUP($Y$7&amp;$AB28&amp;$Z28,'Stage data'!$A$3:$AE$128,12,FALSE)),ISBLANK(VLOOKUP($Y$7&amp;$AB28&amp;$Z28,'Stage data'!$A$3:$AE$128,12,FALSE))),"",VLOOKUP($Y$7&amp;$AB28&amp;$Z28,'Stage data'!$A$3:$AE$128,12,FALSE))</f>
        <v>5.9505409582689336E-2</v>
      </c>
      <c r="AK28" s="62"/>
    </row>
    <row r="29" spans="1:37" ht="15.75" x14ac:dyDescent="0.25">
      <c r="A29" s="7"/>
      <c r="Y29" s="25"/>
      <c r="Z29" s="25" t="s">
        <v>4</v>
      </c>
      <c r="AA29" s="33"/>
      <c r="AB29" s="25" t="s">
        <v>34</v>
      </c>
      <c r="AC29" s="20">
        <f>IF(OR(ISERROR(VLOOKUP($Y$7&amp;$AB29&amp;$Z29,'Stage data'!$A$3:$AE$128,5,FALSE)),ISBLANK(VLOOKUP($Y$7&amp;$AB29&amp;$Z29,'Stage data'!$A$3:$AE$128,5,FALSE))),"",VLOOKUP($Y$7&amp;$AB29&amp;$Z29,'Stage data'!$A$3:$AE$128,5,FALSE))</f>
        <v>0.13627748294162245</v>
      </c>
      <c r="AD29" s="20">
        <f>IF(OR(ISERROR(VLOOKUP($Y$7&amp;$AB29&amp;$Z29,'Stage data'!$A$3:$AE$128,6,FALSE)),ISBLANK(VLOOKUP($Y$7&amp;$AB29&amp;$Z29,'Stage data'!$A$3:$AE$128,6,FALSE))),"",VLOOKUP($Y$7&amp;$AB29&amp;$Z29,'Stage data'!$A$3:$AE$128,6,FALSE))</f>
        <v>2.7862016679302503E-2</v>
      </c>
      <c r="AE29" s="20">
        <f>IF(OR(ISERROR(VLOOKUP($Y$7&amp;$AB29&amp;$Z29,'Stage data'!$A$3:$AE$128,7,FALSE)),ISBLANK(VLOOKUP($Y$7&amp;$AB29&amp;$Z29,'Stage data'!$A$3:$AE$128,7,FALSE))),"",VLOOKUP($Y$7&amp;$AB29&amp;$Z29,'Stage data'!$A$3:$AE$128,7,FALSE))</f>
        <v>3.626484710639373E-2</v>
      </c>
      <c r="AF29" s="20">
        <f>IF(OR(ISERROR(VLOOKUP($Y$7&amp;$AB29&amp;$Z29,'Stage data'!$A$3:$AE$128,8,FALSE)),ISBLANK(VLOOKUP($Y$7&amp;$AB29&amp;$Z29,'Stage data'!$A$3:$AE$128,8,FALSE))),"",VLOOKUP($Y$7&amp;$AB29&amp;$Z29,'Stage data'!$A$3:$AE$128,8,FALSE))</f>
        <v>3.8539297447561287E-2</v>
      </c>
      <c r="AG29" s="20">
        <f>IF(OR(ISERROR(VLOOKUP($Y$7&amp;$AB29&amp;$Z29,'Stage data'!$A$3:$AE$128,9,FALSE)),ISBLANK(VLOOKUP($Y$7&amp;$AB29&amp;$Z29,'Stage data'!$A$3:$AE$128,9,FALSE))),"",VLOOKUP($Y$7&amp;$AB29&amp;$Z29,'Stage data'!$A$3:$AE$128,9,FALSE))</f>
        <v>0.12496841041192823</v>
      </c>
      <c r="AH29" s="20">
        <f>IF(OR(ISERROR(VLOOKUP($Y$7&amp;$AB29&amp;$Z29,'Stage data'!$A$3:$AE$128,10,FALSE)),ISBLANK(VLOOKUP($Y$7&amp;$AB29&amp;$Z29,'Stage data'!$A$3:$AE$128,10,FALSE))),"",VLOOKUP($Y$7&amp;$AB29&amp;$Z29,'Stage data'!$A$3:$AE$128,10,FALSE))</f>
        <v>2.0912307303512762E-2</v>
      </c>
      <c r="AI29" s="20">
        <f>IF(OR(ISERROR(VLOOKUP($Y$7&amp;$AB29&amp;$Z29,'Stage data'!$A$3:$AE$128,11,FALSE)),ISBLANK(VLOOKUP($Y$7&amp;$AB29&amp;$Z29,'Stage data'!$A$3:$AE$128,11,FALSE))),"",VLOOKUP($Y$7&amp;$AB29&amp;$Z29,'Stage data'!$A$3:$AE$128,11,FALSE))</f>
        <v>0.44737174627242859</v>
      </c>
      <c r="AJ29" s="20">
        <f>IF(OR(ISERROR(VLOOKUP($Y$7&amp;$AB29&amp;$Z29,'Stage data'!$A$3:$AE$128,12,FALSE)),ISBLANK(VLOOKUP($Y$7&amp;$AB29&amp;$Z29,'Stage data'!$A$3:$AE$128,12,FALSE))),"",VLOOKUP($Y$7&amp;$AB29&amp;$Z29,'Stage data'!$A$3:$AE$128,12,FALSE))</f>
        <v>0.16780389183725045</v>
      </c>
      <c r="AK29" s="62"/>
    </row>
    <row r="30" spans="1:37" x14ac:dyDescent="0.25">
      <c r="Y30" s="25"/>
      <c r="Z30" s="25"/>
      <c r="AA30" s="25"/>
      <c r="AB30" s="25"/>
      <c r="AC30" s="20"/>
      <c r="AD30" s="20"/>
      <c r="AE30" s="20"/>
      <c r="AF30" s="20"/>
      <c r="AG30" s="20"/>
      <c r="AH30" s="20"/>
      <c r="AI30" s="20"/>
      <c r="AJ30" s="20"/>
      <c r="AK30" s="62"/>
    </row>
    <row r="31" spans="1:37" ht="15.75" x14ac:dyDescent="0.25">
      <c r="A31" s="7"/>
      <c r="Y31" s="25"/>
      <c r="Z31" s="25"/>
      <c r="AA31" s="25"/>
      <c r="AB31" s="25"/>
      <c r="AC31" s="20"/>
      <c r="AD31" s="20"/>
      <c r="AE31" s="20"/>
      <c r="AF31" s="20"/>
      <c r="AG31" s="20"/>
      <c r="AH31" s="20"/>
      <c r="AI31" s="20"/>
      <c r="AJ31" s="20"/>
    </row>
    <row r="32" spans="1:37" ht="15.75" thickBot="1" x14ac:dyDescent="0.3">
      <c r="Y32" s="25"/>
      <c r="Z32" s="25"/>
      <c r="AA32" s="25"/>
      <c r="AB32" s="25"/>
      <c r="AC32" s="25"/>
      <c r="AD32" s="25"/>
      <c r="AE32" s="25"/>
      <c r="AF32" s="25"/>
      <c r="AG32" s="25"/>
      <c r="AH32" s="25"/>
      <c r="AI32" s="25"/>
      <c r="AJ32" s="25"/>
    </row>
    <row r="33" spans="1:50" ht="14.25" customHeight="1" thickBot="1" x14ac:dyDescent="0.3">
      <c r="A33" s="7"/>
      <c r="Y33" s="25" t="s">
        <v>41</v>
      </c>
      <c r="Z33" s="25" t="s">
        <v>37</v>
      </c>
      <c r="AA33" s="25" t="s">
        <v>121</v>
      </c>
      <c r="AB33" s="25" t="s">
        <v>44</v>
      </c>
      <c r="AC33" s="19" t="s">
        <v>22</v>
      </c>
      <c r="AD33" s="19" t="s">
        <v>23</v>
      </c>
      <c r="AE33" s="19" t="s">
        <v>24</v>
      </c>
      <c r="AF33" s="19" t="s">
        <v>25</v>
      </c>
      <c r="AG33" s="19" t="s">
        <v>26</v>
      </c>
      <c r="AH33" s="19" t="s">
        <v>27</v>
      </c>
      <c r="AI33" s="19" t="s">
        <v>28</v>
      </c>
      <c r="AJ33" s="19" t="s">
        <v>117</v>
      </c>
      <c r="AK33" s="111" t="s">
        <v>127</v>
      </c>
      <c r="AL33" s="112"/>
      <c r="AM33" s="112"/>
      <c r="AN33" s="112"/>
      <c r="AO33" s="112"/>
      <c r="AP33" s="112"/>
      <c r="AQ33" s="112"/>
      <c r="AR33" s="112"/>
      <c r="AS33" s="112"/>
      <c r="AT33" s="112"/>
      <c r="AU33" s="112"/>
      <c r="AV33" s="112"/>
      <c r="AW33" s="112"/>
      <c r="AX33" s="113"/>
    </row>
    <row r="34" spans="1:50" x14ac:dyDescent="0.25">
      <c r="U34" s="62"/>
      <c r="W34" s="62"/>
      <c r="Y34" s="25" t="str">
        <f>Lookups!A10</f>
        <v>Breast</v>
      </c>
      <c r="Z34" s="25" t="s">
        <v>0</v>
      </c>
      <c r="AA34" s="25" t="s">
        <v>0</v>
      </c>
      <c r="AB34" s="25" t="s">
        <v>38</v>
      </c>
      <c r="AC34" s="20">
        <f>IF(OR(ISERROR(VLOOKUP($Y$34&amp;$Z34&amp;$AB34,'Stage data'!$A$3:$AE$128,5,FALSE)),ISBLANK(VLOOKUP($Y$34&amp;$Z34&amp;$AB34,'Stage data'!$A$3:$AE$128,5,FALSE))),"",VLOOKUP($Y$34&amp;$Z34&amp;$AB34,'Stage data'!$A$3:$AE$128,5,FALSE))</f>
        <v>0.14896632210736913</v>
      </c>
      <c r="AD34" s="20">
        <f>IF(OR(ISERROR(VLOOKUP($Y$34&amp;$Z34&amp;$AB34,'Stage data'!$A$3:$AE$128,6,FALSE)),ISBLANK(VLOOKUP($Y$34&amp;$Z34&amp;$AB34,'Stage data'!$A$3:$AE$128,6,FALSE))),"",VLOOKUP($Y$34&amp;$Z34&amp;$AB34,'Stage data'!$A$3:$AE$128,6,FALSE))</f>
        <v>1.0281204846059797E-3</v>
      </c>
      <c r="AE34" s="20">
        <f>IF(OR(ISERROR(VLOOKUP($Y$34&amp;$Z34&amp;$AB34,'Stage data'!$A$3:$AE$128,7,FALSE)),ISBLANK(VLOOKUP($Y$34&amp;$Z34&amp;$AB34,'Stage data'!$A$3:$AE$128,7,FALSE))),"",VLOOKUP($Y$34&amp;$Z34&amp;$AB34,'Stage data'!$A$3:$AE$128,7,FALSE))</f>
        <v>8.1138157163498942E-3</v>
      </c>
      <c r="AF34" s="20">
        <f>IF(OR(ISERROR(VLOOKUP($Y$34&amp;$Z34&amp;$AB34,'Stage data'!$A$3:$AE$128,8,FALSE)),ISBLANK(VLOOKUP($Y$34&amp;$Z34&amp;$AB34,'Stage data'!$A$3:$AE$128,8,FALSE))),"",VLOOKUP($Y$34&amp;$Z34&amp;$AB34,'Stage data'!$A$3:$AE$128,8,FALSE))</f>
        <v>3.6790041124819386E-2</v>
      </c>
      <c r="AG34" s="20">
        <f>IF(OR(ISERROR(VLOOKUP($Y$34&amp;$Z34&amp;$AB34,'Stage data'!$A$3:$AE$128,9,FALSE)),ISBLANK(VLOOKUP($Y$34&amp;$Z34&amp;$AB34,'Stage data'!$A$3:$AE$128,9,FALSE))),"",VLOOKUP($Y$34&amp;$Z34&amp;$AB34,'Stage data'!$A$3:$AE$128,9,FALSE))</f>
        <v>0.62443036567744803</v>
      </c>
      <c r="AH34" s="20">
        <f>IF(OR(ISERROR(VLOOKUP($Y$34&amp;$Z34&amp;$AB34,'Stage data'!$A$3:$AE$128,10,FALSE)),ISBLANK(VLOOKUP($Y$34&amp;$Z34&amp;$AB34,'Stage data'!$A$3:$AE$128,10,FALSE))),"",VLOOKUP($Y$34&amp;$Z34&amp;$AB34,'Stage data'!$A$3:$AE$128,10,FALSE))</f>
        <v>2.5008336112037344E-3</v>
      </c>
      <c r="AI34" s="20">
        <f>IF(OR(ISERROR(VLOOKUP($Y$34&amp;$Z34&amp;$AB34,'Stage data'!$A$3:$AE$128,11,FALSE)),ISBLANK(VLOOKUP($Y$34&amp;$Z34&amp;$AB34,'Stage data'!$A$3:$AE$128,11,FALSE))),"",VLOOKUP($Y$34&amp;$Z34&amp;$AB34,'Stage data'!$A$3:$AE$128,11,FALSE))</f>
        <v>1.0920306768922975E-2</v>
      </c>
      <c r="AJ34" s="20">
        <f>IF(OR(ISERROR(VLOOKUP($Y$34&amp;$Z34&amp;$AB34,'Stage data'!$A$3:$AE$128,12,FALSE)),ISBLANK(VLOOKUP($Y$34&amp;$Z34&amp;$AB34,'Stage data'!$A$3:$AE$128,12,FALSE))),"",VLOOKUP($Y$34&amp;$Z34&amp;$AB34,'Stage data'!$A$3:$AE$128,12,FALSE))</f>
        <v>0.16725019450928086</v>
      </c>
    </row>
    <row r="35" spans="1:50" ht="15.75" x14ac:dyDescent="0.25">
      <c r="A35" s="7"/>
      <c r="U35" s="62"/>
      <c r="Y35" s="25"/>
      <c r="Z35" s="25" t="s">
        <v>0</v>
      </c>
      <c r="AA35" s="33"/>
      <c r="AB35" s="25" t="s">
        <v>39</v>
      </c>
      <c r="AC35" s="20">
        <f>IF(OR(ISERROR(VLOOKUP($Y$34&amp;$Z35&amp;$AB35,'Stage data'!$A$3:$AE$128,5,FALSE)),ISBLANK(VLOOKUP($Y$34&amp;$Z35&amp;$AB35,'Stage data'!$A$3:$AE$128,5,FALSE))),"",VLOOKUP($Y$34&amp;$Z35&amp;$AB35,'Stage data'!$A$3:$AE$128,5,FALSE))</f>
        <v>3.8975501113585748E-2</v>
      </c>
      <c r="AD35" s="20">
        <f>IF(OR(ISERROR(VLOOKUP($Y$34&amp;$Z35&amp;$AB35,'Stage data'!$A$3:$AE$128,6,FALSE)),ISBLANK(VLOOKUP($Y$34&amp;$Z35&amp;$AB35,'Stage data'!$A$3:$AE$128,6,FALSE))),"",VLOOKUP($Y$34&amp;$Z35&amp;$AB35,'Stage data'!$A$3:$AE$128,6,FALSE))</f>
        <v>3.7305122494432075E-2</v>
      </c>
      <c r="AE35" s="20">
        <f>IF(OR(ISERROR(VLOOKUP($Y$34&amp;$Z35&amp;$AB35,'Stage data'!$A$3:$AE$128,7,FALSE)),ISBLANK(VLOOKUP($Y$34&amp;$Z35&amp;$AB35,'Stage data'!$A$3:$AE$128,7,FALSE))),"",VLOOKUP($Y$34&amp;$Z35&amp;$AB35,'Stage data'!$A$3:$AE$128,7,FALSE))</f>
        <v>8.9086859688195987E-3</v>
      </c>
      <c r="AF35" s="20">
        <f>IF(OR(ISERROR(VLOOKUP($Y$34&amp;$Z35&amp;$AB35,'Stage data'!$A$3:$AE$128,8,FALSE)),ISBLANK(VLOOKUP($Y$34&amp;$Z35&amp;$AB35,'Stage data'!$A$3:$AE$128,8,FALSE))),"",VLOOKUP($Y$34&amp;$Z35&amp;$AB35,'Stage data'!$A$3:$AE$128,8,FALSE))</f>
        <v>7.5723830734966593E-2</v>
      </c>
      <c r="AG35" s="20">
        <f>IF(OR(ISERROR(VLOOKUP($Y$34&amp;$Z35&amp;$AB35,'Stage data'!$A$3:$AE$128,9,FALSE)),ISBLANK(VLOOKUP($Y$34&amp;$Z35&amp;$AB35,'Stage data'!$A$3:$AE$128,9,FALSE))),"",VLOOKUP($Y$34&amp;$Z35&amp;$AB35,'Stage data'!$A$3:$AE$128,9,FALSE))</f>
        <v>0.11971046770601336</v>
      </c>
      <c r="AH35" s="20">
        <f>IF(OR(ISERROR(VLOOKUP($Y$34&amp;$Z35&amp;$AB35,'Stage data'!$A$3:$AE$128,10,FALSE)),ISBLANK(VLOOKUP($Y$34&amp;$Z35&amp;$AB35,'Stage data'!$A$3:$AE$128,10,FALSE))),"",VLOOKUP($Y$34&amp;$Z35&amp;$AB35,'Stage data'!$A$3:$AE$128,10,FALSE))</f>
        <v>2.0044543429844099E-2</v>
      </c>
      <c r="AI35" s="20">
        <f>IF(OR(ISERROR(VLOOKUP($Y$34&amp;$Z35&amp;$AB35,'Stage data'!$A$3:$AE$128,11,FALSE)),ISBLANK(VLOOKUP($Y$34&amp;$Z35&amp;$AB35,'Stage data'!$A$3:$AE$128,11,FALSE))),"",VLOOKUP($Y$34&amp;$Z35&amp;$AB35,'Stage data'!$A$3:$AE$128,11,FALSE))</f>
        <v>2.5055679287305122E-2</v>
      </c>
      <c r="AJ35" s="20">
        <f>IF(OR(ISERROR(VLOOKUP($Y$34&amp;$Z35&amp;$AB35,'Stage data'!$A$3:$AE$128,12,FALSE)),ISBLANK(VLOOKUP($Y$34&amp;$Z35&amp;$AB35,'Stage data'!$A$3:$AE$128,12,FALSE))),"",VLOOKUP($Y$34&amp;$Z35&amp;$AB35,'Stage data'!$A$3:$AE$128,12,FALSE))</f>
        <v>0.67427616926503342</v>
      </c>
    </row>
    <row r="36" spans="1:50" x14ac:dyDescent="0.25">
      <c r="U36" s="62"/>
      <c r="Y36" s="25"/>
      <c r="Z36" s="25" t="s">
        <v>0</v>
      </c>
      <c r="AA36" s="25"/>
      <c r="AB36" s="25" t="s">
        <v>4</v>
      </c>
      <c r="AC36" s="20">
        <f>IF(OR(ISERROR(VLOOKUP($Y$34&amp;$Z36&amp;$AB36,'Stage data'!$A$3:$AE$128,5,FALSE)),ISBLANK(VLOOKUP($Y$34&amp;$Z36&amp;$AB36,'Stage data'!$A$3:$AE$128,5,FALSE))),"",VLOOKUP($Y$34&amp;$Z36&amp;$AB36,'Stage data'!$A$3:$AE$128,5,FALSE))</f>
        <v>0.16650943396226414</v>
      </c>
      <c r="AD36" s="20">
        <f>IF(OR(ISERROR(VLOOKUP($Y$34&amp;$Z36&amp;$AB36,'Stage data'!$A$3:$AE$128,6,FALSE)),ISBLANK(VLOOKUP($Y$34&amp;$Z36&amp;$AB36,'Stage data'!$A$3:$AE$128,6,FALSE))),"",VLOOKUP($Y$34&amp;$Z36&amp;$AB36,'Stage data'!$A$3:$AE$128,6,FALSE))</f>
        <v>1.0377358490566037E-2</v>
      </c>
      <c r="AE36" s="20">
        <f>IF(OR(ISERROR(VLOOKUP($Y$34&amp;$Z36&amp;$AB36,'Stage data'!$A$3:$AE$128,7,FALSE)),ISBLANK(VLOOKUP($Y$34&amp;$Z36&amp;$AB36,'Stage data'!$A$3:$AE$128,7,FALSE))),"",VLOOKUP($Y$34&amp;$Z36&amp;$AB36,'Stage data'!$A$3:$AE$128,7,FALSE))</f>
        <v>3.2547169811320754E-2</v>
      </c>
      <c r="AF36" s="20">
        <f>IF(OR(ISERROR(VLOOKUP($Y$34&amp;$Z36&amp;$AB36,'Stage data'!$A$3:$AE$128,8,FALSE)),ISBLANK(VLOOKUP($Y$34&amp;$Z36&amp;$AB36,'Stage data'!$A$3:$AE$128,8,FALSE))),"",VLOOKUP($Y$34&amp;$Z36&amp;$AB36,'Stage data'!$A$3:$AE$128,8,FALSE))</f>
        <v>4.0566037735849055E-2</v>
      </c>
      <c r="AG36" s="20">
        <f>IF(OR(ISERROR(VLOOKUP($Y$34&amp;$Z36&amp;$AB36,'Stage data'!$A$3:$AE$128,9,FALSE)),ISBLANK(VLOOKUP($Y$34&amp;$Z36&amp;$AB36,'Stage data'!$A$3:$AE$128,9,FALSE))),"",VLOOKUP($Y$34&amp;$Z36&amp;$AB36,'Stage data'!$A$3:$AE$128,9,FALSE))</f>
        <v>0.31650943396226416</v>
      </c>
      <c r="AH36" s="20">
        <f>IF(OR(ISERROR(VLOOKUP($Y$34&amp;$Z36&amp;$AB36,'Stage data'!$A$3:$AE$128,10,FALSE)),ISBLANK(VLOOKUP($Y$34&amp;$Z36&amp;$AB36,'Stage data'!$A$3:$AE$128,10,FALSE))),"",VLOOKUP($Y$34&amp;$Z36&amp;$AB36,'Stage data'!$A$3:$AE$128,10,FALSE))</f>
        <v>8.962264150943396E-3</v>
      </c>
      <c r="AI36" s="20">
        <f>IF(OR(ISERROR(VLOOKUP($Y$34&amp;$Z36&amp;$AB36,'Stage data'!$A$3:$AE$128,11,FALSE)),ISBLANK(VLOOKUP($Y$34&amp;$Z36&amp;$AB36,'Stage data'!$A$3:$AE$128,11,FALSE))),"",VLOOKUP($Y$34&amp;$Z36&amp;$AB36,'Stage data'!$A$3:$AE$128,11,FALSE))</f>
        <v>0.20283018867924529</v>
      </c>
      <c r="AJ36" s="20">
        <f>IF(OR(ISERROR(VLOOKUP($Y$34&amp;$Z36&amp;$AB36,'Stage data'!$A$3:$AE$128,12,FALSE)),ISBLANK(VLOOKUP($Y$34&amp;$Z36&amp;$AB36,'Stage data'!$A$3:$AE$128,12,FALSE))),"",VLOOKUP($Y$34&amp;$Z36&amp;$AB36,'Stage data'!$A$3:$AE$128,12,FALSE))</f>
        <v>0.22169811320754718</v>
      </c>
    </row>
    <row r="37" spans="1:50" ht="15.75" x14ac:dyDescent="0.25">
      <c r="A37" s="7"/>
      <c r="U37" s="62"/>
      <c r="Y37" s="25"/>
      <c r="Z37" s="25"/>
      <c r="AA37" s="25"/>
      <c r="AB37" s="25"/>
      <c r="AC37" s="20"/>
      <c r="AD37" s="20"/>
      <c r="AE37" s="20"/>
      <c r="AF37" s="20"/>
      <c r="AG37" s="20"/>
      <c r="AH37" s="20"/>
      <c r="AI37" s="20"/>
      <c r="AJ37" s="20"/>
    </row>
    <row r="38" spans="1:50" x14ac:dyDescent="0.25">
      <c r="U38" s="62"/>
      <c r="Y38" s="25"/>
      <c r="Z38" s="25" t="s">
        <v>1</v>
      </c>
      <c r="AA38" s="25" t="s">
        <v>1</v>
      </c>
      <c r="AB38" s="25" t="s">
        <v>38</v>
      </c>
      <c r="AC38" s="20">
        <f>IF(OR(ISERROR(VLOOKUP($Y$34&amp;$Z38&amp;$AB38,'Stage data'!$A$3:$AE$128,5,FALSE)),ISBLANK(VLOOKUP($Y$34&amp;$Z38&amp;$AB38,'Stage data'!$A$3:$AE$128,5,FALSE))),"",VLOOKUP($Y$34&amp;$Z38&amp;$AB38,'Stage data'!$A$3:$AE$128,5,FALSE))</f>
        <v>0.18110538120890285</v>
      </c>
      <c r="AD38" s="20">
        <f>IF(OR(ISERROR(VLOOKUP($Y$34&amp;$Z38&amp;$AB38,'Stage data'!$A$3:$AE$128,6,FALSE)),ISBLANK(VLOOKUP($Y$34&amp;$Z38&amp;$AB38,'Stage data'!$A$3:$AE$128,6,FALSE))),"",VLOOKUP($Y$34&amp;$Z38&amp;$AB38,'Stage data'!$A$3:$AE$128,6,FALSE))</f>
        <v>4.4284262791633913E-3</v>
      </c>
      <c r="AE38" s="20">
        <f>IF(OR(ISERROR(VLOOKUP($Y$34&amp;$Z38&amp;$AB38,'Stage data'!$A$3:$AE$128,7,FALSE)),ISBLANK(VLOOKUP($Y$34&amp;$Z38&amp;$AB38,'Stage data'!$A$3:$AE$128,7,FALSE))),"",VLOOKUP($Y$34&amp;$Z38&amp;$AB38,'Stage data'!$A$3:$AE$128,7,FALSE))</f>
        <v>5.2527653700899105E-3</v>
      </c>
      <c r="AF38" s="20">
        <f>IF(OR(ISERROR(VLOOKUP($Y$34&amp;$Z38&amp;$AB38,'Stage data'!$A$3:$AE$128,8,FALSE)),ISBLANK(VLOOKUP($Y$34&amp;$Z38&amp;$AB38,'Stage data'!$A$3:$AE$128,8,FALSE))),"",VLOOKUP($Y$34&amp;$Z38&amp;$AB38,'Stage data'!$A$3:$AE$128,8,FALSE))</f>
        <v>7.7947970783888959E-2</v>
      </c>
      <c r="AG38" s="20">
        <f>IF(OR(ISERROR(VLOOKUP($Y$34&amp;$Z38&amp;$AB38,'Stage data'!$A$3:$AE$128,9,FALSE)),ISBLANK(VLOOKUP($Y$34&amp;$Z38&amp;$AB38,'Stage data'!$A$3:$AE$128,9,FALSE))),"",VLOOKUP($Y$34&amp;$Z38&amp;$AB38,'Stage data'!$A$3:$AE$128,9,FALSE))</f>
        <v>0.31430324176140179</v>
      </c>
      <c r="AH38" s="20">
        <f>IF(OR(ISERROR(VLOOKUP($Y$34&amp;$Z38&amp;$AB38,'Stage data'!$A$3:$AE$128,10,FALSE)),ISBLANK(VLOOKUP($Y$34&amp;$Z38&amp;$AB38,'Stage data'!$A$3:$AE$128,10,FALSE))),"",VLOOKUP($Y$34&amp;$Z38&amp;$AB38,'Stage data'!$A$3:$AE$128,10,FALSE))</f>
        <v>5.0610586047581622E-3</v>
      </c>
      <c r="AI38" s="20">
        <f>IF(OR(ISERROR(VLOOKUP($Y$34&amp;$Z38&amp;$AB38,'Stage data'!$A$3:$AE$128,11,FALSE)),ISBLANK(VLOOKUP($Y$34&amp;$Z38&amp;$AB38,'Stage data'!$A$3:$AE$128,11,FALSE))),"",VLOOKUP($Y$34&amp;$Z38&amp;$AB38,'Stage data'!$A$3:$AE$128,11,FALSE))</f>
        <v>0.10718325249698062</v>
      </c>
      <c r="AJ38" s="20">
        <f>IF(OR(ISERROR(VLOOKUP($Y$34&amp;$Z38&amp;$AB38,'Stage data'!$A$3:$AE$128,12,FALSE)),ISBLANK(VLOOKUP($Y$34&amp;$Z38&amp;$AB38,'Stage data'!$A$3:$AE$128,12,FALSE))),"",VLOOKUP($Y$34&amp;$Z38&amp;$AB38,'Stage data'!$A$3:$AE$128,12,FALSE))</f>
        <v>0.30471790349481431</v>
      </c>
    </row>
    <row r="39" spans="1:50" ht="15.75" x14ac:dyDescent="0.25">
      <c r="A39" s="7"/>
      <c r="U39" s="62"/>
      <c r="Y39" s="25"/>
      <c r="Z39" s="25" t="s">
        <v>1</v>
      </c>
      <c r="AA39" s="33"/>
      <c r="AB39" s="25" t="s">
        <v>39</v>
      </c>
      <c r="AC39" s="20">
        <f>IF(OR(ISERROR(VLOOKUP($Y$34&amp;$Z39&amp;$AB39,'Stage data'!$A$3:$AE$128,5,FALSE)),ISBLANK(VLOOKUP($Y$34&amp;$Z39&amp;$AB39,'Stage data'!$A$3:$AE$128,5,FALSE))),"",VLOOKUP($Y$34&amp;$Z39&amp;$AB39,'Stage data'!$A$3:$AE$128,5,FALSE))</f>
        <v>4.7486761003559336E-2</v>
      </c>
      <c r="AD39" s="20">
        <f>IF(OR(ISERROR(VLOOKUP($Y$34&amp;$Z39&amp;$AB39,'Stage data'!$A$3:$AE$128,6,FALSE)),ISBLANK(VLOOKUP($Y$34&amp;$Z39&amp;$AB39,'Stage data'!$A$3:$AE$128,6,FALSE))),"",VLOOKUP($Y$34&amp;$Z39&amp;$AB39,'Stage data'!$A$3:$AE$128,6,FALSE))</f>
        <v>7.0231790954075876E-2</v>
      </c>
      <c r="AE39" s="20">
        <f>IF(OR(ISERROR(VLOOKUP($Y$34&amp;$Z39&amp;$AB39,'Stage data'!$A$3:$AE$128,7,FALSE)),ISBLANK(VLOOKUP($Y$34&amp;$Z39&amp;$AB39,'Stage data'!$A$3:$AE$128,7,FALSE))),"",VLOOKUP($Y$34&amp;$Z39&amp;$AB39,'Stage data'!$A$3:$AE$128,7,FALSE))</f>
        <v>3.1773591457591802E-2</v>
      </c>
      <c r="AF39" s="20">
        <f>IF(OR(ISERROR(VLOOKUP($Y$34&amp;$Z39&amp;$AB39,'Stage data'!$A$3:$AE$128,8,FALSE)),ISBLANK(VLOOKUP($Y$34&amp;$Z39&amp;$AB39,'Stage data'!$A$3:$AE$128,8,FALSE))),"",VLOOKUP($Y$34&amp;$Z39&amp;$AB39,'Stage data'!$A$3:$AE$128,8,FALSE))</f>
        <v>5.6688948693462977E-2</v>
      </c>
      <c r="AG39" s="20">
        <f>IF(OR(ISERROR(VLOOKUP($Y$34&amp;$Z39&amp;$AB39,'Stage data'!$A$3:$AE$128,9,FALSE)),ISBLANK(VLOOKUP($Y$34&amp;$Z39&amp;$AB39,'Stage data'!$A$3:$AE$128,9,FALSE))),"",VLOOKUP($Y$34&amp;$Z39&amp;$AB39,'Stage data'!$A$3:$AE$128,9,FALSE))</f>
        <v>0.13169545967531904</v>
      </c>
      <c r="AH39" s="20">
        <f>IF(OR(ISERROR(VLOOKUP($Y$34&amp;$Z39&amp;$AB39,'Stage data'!$A$3:$AE$128,10,FALSE)),ISBLANK(VLOOKUP($Y$34&amp;$Z39&amp;$AB39,'Stage data'!$A$3:$AE$128,10,FALSE))),"",VLOOKUP($Y$34&amp;$Z39&amp;$AB39,'Stage data'!$A$3:$AE$128,10,FALSE))</f>
        <v>3.7242816216685473E-2</v>
      </c>
      <c r="AI39" s="20">
        <f>IF(OR(ISERROR(VLOOKUP($Y$34&amp;$Z39&amp;$AB39,'Stage data'!$A$3:$AE$128,11,FALSE)),ISBLANK(VLOOKUP($Y$34&amp;$Z39&amp;$AB39,'Stage data'!$A$3:$AE$128,11,FALSE))),"",VLOOKUP($Y$34&amp;$Z39&amp;$AB39,'Stage data'!$A$3:$AE$128,11,FALSE))</f>
        <v>0.12622623491622537</v>
      </c>
      <c r="AJ39" s="20">
        <f>IF(OR(ISERROR(VLOOKUP($Y$34&amp;$Z39&amp;$AB39,'Stage data'!$A$3:$AE$128,12,FALSE)),ISBLANK(VLOOKUP($Y$34&amp;$Z39&amp;$AB39,'Stage data'!$A$3:$AE$128,12,FALSE))),"",VLOOKUP($Y$34&amp;$Z39&amp;$AB39,'Stage data'!$A$3:$AE$128,12,FALSE))</f>
        <v>0.49865439708308013</v>
      </c>
    </row>
    <row r="40" spans="1:50" x14ac:dyDescent="0.25">
      <c r="U40" s="62"/>
      <c r="Y40" s="25"/>
      <c r="Z40" s="25" t="s">
        <v>1</v>
      </c>
      <c r="AA40" s="25"/>
      <c r="AB40" s="25" t="s">
        <v>4</v>
      </c>
      <c r="AC40" s="20">
        <f>IF(OR(ISERROR(VLOOKUP($Y$34&amp;$Z40&amp;$AB40,'Stage data'!$A$3:$AE$128,5,FALSE)),ISBLANK(VLOOKUP($Y$34&amp;$Z40&amp;$AB40,'Stage data'!$A$3:$AE$128,5,FALSE))),"",VLOOKUP($Y$34&amp;$Z40&amp;$AB40,'Stage data'!$A$3:$AE$128,5,FALSE))</f>
        <v>0.11980277185501066</v>
      </c>
      <c r="AD40" s="20">
        <f>IF(OR(ISERROR(VLOOKUP($Y$34&amp;$Z40&amp;$AB40,'Stage data'!$A$3:$AE$128,6,FALSE)),ISBLANK(VLOOKUP($Y$34&amp;$Z40&amp;$AB40,'Stage data'!$A$3:$AE$128,6,FALSE))),"",VLOOKUP($Y$34&amp;$Z40&amp;$AB40,'Stage data'!$A$3:$AE$128,6,FALSE))</f>
        <v>2.1855010660980809E-2</v>
      </c>
      <c r="AE40" s="20">
        <f>IF(OR(ISERROR(VLOOKUP($Y$34&amp;$Z40&amp;$AB40,'Stage data'!$A$3:$AE$128,7,FALSE)),ISBLANK(VLOOKUP($Y$34&amp;$Z40&amp;$AB40,'Stage data'!$A$3:$AE$128,7,FALSE))),"",VLOOKUP($Y$34&amp;$Z40&amp;$AB40,'Stage data'!$A$3:$AE$128,7,FALSE))</f>
        <v>1.7723880597014924E-2</v>
      </c>
      <c r="AF40" s="20">
        <f>IF(OR(ISERROR(VLOOKUP($Y$34&amp;$Z40&amp;$AB40,'Stage data'!$A$3:$AE$128,8,FALSE)),ISBLANK(VLOOKUP($Y$34&amp;$Z40&amp;$AB40,'Stage data'!$A$3:$AE$128,8,FALSE))),"",VLOOKUP($Y$34&amp;$Z40&amp;$AB40,'Stage data'!$A$3:$AE$128,8,FALSE))</f>
        <v>4.2643923240938165E-2</v>
      </c>
      <c r="AG40" s="20">
        <f>IF(OR(ISERROR(VLOOKUP($Y$34&amp;$Z40&amp;$AB40,'Stage data'!$A$3:$AE$128,9,FALSE)),ISBLANK(VLOOKUP($Y$34&amp;$Z40&amp;$AB40,'Stage data'!$A$3:$AE$128,9,FALSE))),"",VLOOKUP($Y$34&amp;$Z40&amp;$AB40,'Stage data'!$A$3:$AE$128,9,FALSE))</f>
        <v>0.11580490405117271</v>
      </c>
      <c r="AH40" s="20">
        <f>IF(OR(ISERROR(VLOOKUP($Y$34&amp;$Z40&amp;$AB40,'Stage data'!$A$3:$AE$128,10,FALSE)),ISBLANK(VLOOKUP($Y$34&amp;$Z40&amp;$AB40,'Stage data'!$A$3:$AE$128,10,FALSE))),"",VLOOKUP($Y$34&amp;$Z40&amp;$AB40,'Stage data'!$A$3:$AE$128,10,FALSE))</f>
        <v>1.42590618336887E-2</v>
      </c>
      <c r="AI40" s="20">
        <f>IF(OR(ISERROR(VLOOKUP($Y$34&amp;$Z40&amp;$AB40,'Stage data'!$A$3:$AE$128,11,FALSE)),ISBLANK(VLOOKUP($Y$34&amp;$Z40&amp;$AB40,'Stage data'!$A$3:$AE$128,11,FALSE))),"",VLOOKUP($Y$34&amp;$Z40&amp;$AB40,'Stage data'!$A$3:$AE$128,11,FALSE))</f>
        <v>0.43256929637526653</v>
      </c>
      <c r="AJ40" s="20">
        <f>IF(OR(ISERROR(VLOOKUP($Y$34&amp;$Z40&amp;$AB40,'Stage data'!$A$3:$AE$128,12,FALSE)),ISBLANK(VLOOKUP($Y$34&amp;$Z40&amp;$AB40,'Stage data'!$A$3:$AE$128,12,FALSE))),"",VLOOKUP($Y$34&amp;$Z40&amp;$AB40,'Stage data'!$A$3:$AE$128,12,FALSE))</f>
        <v>0.23534115138592751</v>
      </c>
    </row>
    <row r="41" spans="1:50" x14ac:dyDescent="0.25">
      <c r="U41" s="62"/>
      <c r="Y41" s="25"/>
      <c r="Z41" s="25"/>
      <c r="AA41" s="25"/>
      <c r="AB41" s="25"/>
      <c r="AC41" s="20"/>
      <c r="AD41" s="20"/>
      <c r="AE41" s="20"/>
      <c r="AF41" s="20"/>
      <c r="AG41" s="20"/>
      <c r="AH41" s="20"/>
      <c r="AI41" s="20"/>
      <c r="AJ41" s="20"/>
    </row>
    <row r="42" spans="1:50" ht="15.75" x14ac:dyDescent="0.25">
      <c r="A42" s="7"/>
      <c r="U42" s="62"/>
      <c r="Y42" s="25"/>
      <c r="Z42" s="25" t="s">
        <v>2</v>
      </c>
      <c r="AA42" s="25" t="s">
        <v>2</v>
      </c>
      <c r="AB42" s="25" t="s">
        <v>38</v>
      </c>
      <c r="AC42" s="20">
        <f>IF(OR(ISERROR(VLOOKUP($Y$34&amp;$Z42&amp;$AB42,'Stage data'!$A$3:$AE$128,5,FALSE)),ISBLANK(VLOOKUP($Y$34&amp;$Z42&amp;$AB42,'Stage data'!$A$3:$AE$128,5,FALSE))),"",VLOOKUP($Y$34&amp;$Z42&amp;$AB42,'Stage data'!$A$3:$AE$128,5,FALSE))</f>
        <v>0.25929738772358768</v>
      </c>
      <c r="AD42" s="20">
        <f>IF(OR(ISERROR(VLOOKUP($Y$34&amp;$Z42&amp;$AB42,'Stage data'!$A$3:$AE$128,6,FALSE)),ISBLANK(VLOOKUP($Y$34&amp;$Z42&amp;$AB42,'Stage data'!$A$3:$AE$128,6,FALSE))),"",VLOOKUP($Y$34&amp;$Z42&amp;$AB42,'Stage data'!$A$3:$AE$128,6,FALSE))</f>
        <v>1.1581521039763223E-2</v>
      </c>
      <c r="AE42" s="20">
        <f>IF(OR(ISERROR(VLOOKUP($Y$34&amp;$Z42&amp;$AB42,'Stage data'!$A$3:$AE$128,7,FALSE)),ISBLANK(VLOOKUP($Y$34&amp;$Z42&amp;$AB42,'Stage data'!$A$3:$AE$128,7,FALSE))),"",VLOOKUP($Y$34&amp;$Z42&amp;$AB42,'Stage data'!$A$3:$AE$128,7,FALSE))</f>
        <v>3.2428258911337021E-2</v>
      </c>
      <c r="AF42" s="20">
        <f>IF(OR(ISERROR(VLOOKUP($Y$34&amp;$Z42&amp;$AB42,'Stage data'!$A$3:$AE$128,8,FALSE)),ISBLANK(VLOOKUP($Y$34&amp;$Z42&amp;$AB42,'Stage data'!$A$3:$AE$128,8,FALSE))),"",VLOOKUP($Y$34&amp;$Z42&amp;$AB42,'Stage data'!$A$3:$AE$128,8,FALSE))</f>
        <v>8.21001158152104E-2</v>
      </c>
      <c r="AG42" s="20">
        <f>IF(OR(ISERROR(VLOOKUP($Y$34&amp;$Z42&amp;$AB42,'Stage data'!$A$3:$AE$128,9,FALSE)),ISBLANK(VLOOKUP($Y$34&amp;$Z42&amp;$AB42,'Stage data'!$A$3:$AE$128,9,FALSE))),"",VLOOKUP($Y$34&amp;$Z42&amp;$AB42,'Stage data'!$A$3:$AE$128,9,FALSE))</f>
        <v>0.27319521297130356</v>
      </c>
      <c r="AH42" s="20">
        <f>IF(OR(ISERROR(VLOOKUP($Y$34&amp;$Z42&amp;$AB42,'Stage data'!$A$3:$AE$128,10,FALSE)),ISBLANK(VLOOKUP($Y$34&amp;$Z42&amp;$AB42,'Stage data'!$A$3:$AE$128,10,FALSE))),"",VLOOKUP($Y$34&amp;$Z42&amp;$AB42,'Stage data'!$A$3:$AE$128,10,FALSE))</f>
        <v>1.5956762321451552E-2</v>
      </c>
      <c r="AI42" s="20">
        <f>IF(OR(ISERROR(VLOOKUP($Y$34&amp;$Z42&amp;$AB42,'Stage data'!$A$3:$AE$128,11,FALSE)),ISBLANK(VLOOKUP($Y$34&amp;$Z42&amp;$AB42,'Stage data'!$A$3:$AE$128,11,FALSE))),"",VLOOKUP($Y$34&amp;$Z42&amp;$AB42,'Stage data'!$A$3:$AE$128,11,FALSE))</f>
        <v>0.15043108994981341</v>
      </c>
      <c r="AJ42" s="20">
        <f>IF(OR(ISERROR(VLOOKUP($Y$34&amp;$Z42&amp;$AB42,'Stage data'!$A$3:$AE$128,12,FALSE)),ISBLANK(VLOOKUP($Y$34&amp;$Z42&amp;$AB42,'Stage data'!$A$3:$AE$128,12,FALSE))),"",VLOOKUP($Y$34&amp;$Z42&amp;$AB42,'Stage data'!$A$3:$AE$128,12,FALSE))</f>
        <v>0.17500965126753312</v>
      </c>
    </row>
    <row r="43" spans="1:50" x14ac:dyDescent="0.25">
      <c r="U43" s="62"/>
      <c r="Y43" s="25"/>
      <c r="Z43" s="25" t="s">
        <v>2</v>
      </c>
      <c r="AA43" s="33"/>
      <c r="AB43" s="25" t="s">
        <v>39</v>
      </c>
      <c r="AC43" s="20">
        <f>IF(OR(ISERROR(VLOOKUP($Y$34&amp;$Z43&amp;$AB43,'Stage data'!$A$3:$AE$128,5,FALSE)),ISBLANK(VLOOKUP($Y$34&amp;$Z43&amp;$AB43,'Stage data'!$A$3:$AE$128,5,FALSE))),"",VLOOKUP($Y$34&amp;$Z43&amp;$AB43,'Stage data'!$A$3:$AE$128,5,FALSE))</f>
        <v>6.5809768637532129E-2</v>
      </c>
      <c r="AD43" s="20">
        <f>IF(OR(ISERROR(VLOOKUP($Y$34&amp;$Z43&amp;$AB43,'Stage data'!$A$3:$AE$128,6,FALSE)),ISBLANK(VLOOKUP($Y$34&amp;$Z43&amp;$AB43,'Stage data'!$A$3:$AE$128,6,FALSE))),"",VLOOKUP($Y$34&amp;$Z43&amp;$AB43,'Stage data'!$A$3:$AE$128,6,FALSE))</f>
        <v>0.11876606683804627</v>
      </c>
      <c r="AE43" s="20">
        <f>IF(OR(ISERROR(VLOOKUP($Y$34&amp;$Z43&amp;$AB43,'Stage data'!$A$3:$AE$128,7,FALSE)),ISBLANK(VLOOKUP($Y$34&amp;$Z43&amp;$AB43,'Stage data'!$A$3:$AE$128,7,FALSE))),"",VLOOKUP($Y$34&amp;$Z43&amp;$AB43,'Stage data'!$A$3:$AE$128,7,FALSE))</f>
        <v>9.8200514138817474E-2</v>
      </c>
      <c r="AF43" s="20">
        <f>IF(OR(ISERROR(VLOOKUP($Y$34&amp;$Z43&amp;$AB43,'Stage data'!$A$3:$AE$128,8,FALSE)),ISBLANK(VLOOKUP($Y$34&amp;$Z43&amp;$AB43,'Stage data'!$A$3:$AE$128,8,FALSE))),"",VLOOKUP($Y$34&amp;$Z43&amp;$AB43,'Stage data'!$A$3:$AE$128,8,FALSE))</f>
        <v>5.2956298200514139E-2</v>
      </c>
      <c r="AG43" s="20">
        <f>IF(OR(ISERROR(VLOOKUP($Y$34&amp;$Z43&amp;$AB43,'Stage data'!$A$3:$AE$128,9,FALSE)),ISBLANK(VLOOKUP($Y$34&amp;$Z43&amp;$AB43,'Stage data'!$A$3:$AE$128,9,FALSE))),"",VLOOKUP($Y$34&amp;$Z43&amp;$AB43,'Stage data'!$A$3:$AE$128,9,FALSE))</f>
        <v>8.0205655526992284E-2</v>
      </c>
      <c r="AH43" s="20">
        <f>IF(OR(ISERROR(VLOOKUP($Y$34&amp;$Z43&amp;$AB43,'Stage data'!$A$3:$AE$128,10,FALSE)),ISBLANK(VLOOKUP($Y$34&amp;$Z43&amp;$AB43,'Stage data'!$A$3:$AE$128,10,FALSE))),"",VLOOKUP($Y$34&amp;$Z43&amp;$AB43,'Stage data'!$A$3:$AE$128,10,FALSE))</f>
        <v>8.5347043701799491E-2</v>
      </c>
      <c r="AI43" s="20">
        <f>IF(OR(ISERROR(VLOOKUP($Y$34&amp;$Z43&amp;$AB43,'Stage data'!$A$3:$AE$128,11,FALSE)),ISBLANK(VLOOKUP($Y$34&amp;$Z43&amp;$AB43,'Stage data'!$A$3:$AE$128,11,FALSE))),"",VLOOKUP($Y$34&amp;$Z43&amp;$AB43,'Stage data'!$A$3:$AE$128,11,FALSE))</f>
        <v>0.24267352185089974</v>
      </c>
      <c r="AJ43" s="20">
        <f>IF(OR(ISERROR(VLOOKUP($Y$34&amp;$Z43&amp;$AB43,'Stage data'!$A$3:$AE$128,12,FALSE)),ISBLANK(VLOOKUP($Y$34&amp;$Z43&amp;$AB43,'Stage data'!$A$3:$AE$128,12,FALSE))),"",VLOOKUP($Y$34&amp;$Z43&amp;$AB43,'Stage data'!$A$3:$AE$128,12,FALSE))</f>
        <v>0.25604113110539845</v>
      </c>
    </row>
    <row r="44" spans="1:50" ht="15.75" x14ac:dyDescent="0.25">
      <c r="A44" s="7"/>
      <c r="U44" s="62"/>
      <c r="Y44" s="25"/>
      <c r="Z44" s="25" t="s">
        <v>2</v>
      </c>
      <c r="AA44" s="25"/>
      <c r="AB44" s="25" t="s">
        <v>4</v>
      </c>
      <c r="AC44" s="20">
        <f>IF(OR(ISERROR(VLOOKUP($Y$34&amp;$Z44&amp;$AB44,'Stage data'!$A$3:$AE$128,5,FALSE)),ISBLANK(VLOOKUP($Y$34&amp;$Z44&amp;$AB44,'Stage data'!$A$3:$AE$128,5,FALSE))),"",VLOOKUP($Y$34&amp;$Z44&amp;$AB44,'Stage data'!$A$3:$AE$128,5,FALSE))</f>
        <v>0.17496171516079634</v>
      </c>
      <c r="AD44" s="20">
        <f>IF(OR(ISERROR(VLOOKUP($Y$34&amp;$Z44&amp;$AB44,'Stage data'!$A$3:$AE$128,6,FALSE)),ISBLANK(VLOOKUP($Y$34&amp;$Z44&amp;$AB44,'Stage data'!$A$3:$AE$128,6,FALSE))),"",VLOOKUP($Y$34&amp;$Z44&amp;$AB44,'Stage data'!$A$3:$AE$128,6,FALSE))</f>
        <v>4.7856049004594184E-2</v>
      </c>
      <c r="AE44" s="20">
        <f>IF(OR(ISERROR(VLOOKUP($Y$34&amp;$Z44&amp;$AB44,'Stage data'!$A$3:$AE$128,7,FALSE)),ISBLANK(VLOOKUP($Y$34&amp;$Z44&amp;$AB44,'Stage data'!$A$3:$AE$128,7,FALSE))),"",VLOOKUP($Y$34&amp;$Z44&amp;$AB44,'Stage data'!$A$3:$AE$128,7,FALSE))</f>
        <v>6.6998468606431855E-2</v>
      </c>
      <c r="AF44" s="20">
        <f>IF(OR(ISERROR(VLOOKUP($Y$34&amp;$Z44&amp;$AB44,'Stage data'!$A$3:$AE$128,8,FALSE)),ISBLANK(VLOOKUP($Y$34&amp;$Z44&amp;$AB44,'Stage data'!$A$3:$AE$128,8,FALSE))),"",VLOOKUP($Y$34&amp;$Z44&amp;$AB44,'Stage data'!$A$3:$AE$128,8,FALSE))</f>
        <v>4.0964777947932622E-2</v>
      </c>
      <c r="AG44" s="20">
        <f>IF(OR(ISERROR(VLOOKUP($Y$34&amp;$Z44&amp;$AB44,'Stage data'!$A$3:$AE$128,9,FALSE)),ISBLANK(VLOOKUP($Y$34&amp;$Z44&amp;$AB44,'Stage data'!$A$3:$AE$128,9,FALSE))),"",VLOOKUP($Y$34&amp;$Z44&amp;$AB44,'Stage data'!$A$3:$AE$128,9,FALSE))</f>
        <v>8.8820826952526799E-2</v>
      </c>
      <c r="AH44" s="20">
        <f>IF(OR(ISERROR(VLOOKUP($Y$34&amp;$Z44&amp;$AB44,'Stage data'!$A$3:$AE$128,10,FALSE)),ISBLANK(VLOOKUP($Y$34&amp;$Z44&amp;$AB44,'Stage data'!$A$3:$AE$128,10,FALSE))),"",VLOOKUP($Y$34&amp;$Z44&amp;$AB44,'Stage data'!$A$3:$AE$128,10,FALSE))</f>
        <v>3.8667687595712097E-2</v>
      </c>
      <c r="AI44" s="20">
        <f>IF(OR(ISERROR(VLOOKUP($Y$34&amp;$Z44&amp;$AB44,'Stage data'!$A$3:$AE$128,11,FALSE)),ISBLANK(VLOOKUP($Y$34&amp;$Z44&amp;$AB44,'Stage data'!$A$3:$AE$128,11,FALSE))),"",VLOOKUP($Y$34&amp;$Z44&amp;$AB44,'Stage data'!$A$3:$AE$128,11,FALSE))</f>
        <v>0.44372128637059727</v>
      </c>
      <c r="AJ44" s="20">
        <f>IF(OR(ISERROR(VLOOKUP($Y$34&amp;$Z44&amp;$AB44,'Stage data'!$A$3:$AE$128,12,FALSE)),ISBLANK(VLOOKUP($Y$34&amp;$Z44&amp;$AB44,'Stage data'!$A$3:$AE$128,12,FALSE))),"",VLOOKUP($Y$34&amp;$Z44&amp;$AB44,'Stage data'!$A$3:$AE$128,12,FALSE))</f>
        <v>9.8009188361408886E-2</v>
      </c>
    </row>
    <row r="45" spans="1:50" x14ac:dyDescent="0.25">
      <c r="U45" s="62"/>
      <c r="Y45" s="25"/>
      <c r="Z45" s="25"/>
      <c r="AA45" s="25"/>
      <c r="AB45" s="25"/>
      <c r="AC45" s="20"/>
      <c r="AD45" s="20"/>
      <c r="AE45" s="20"/>
      <c r="AF45" s="20"/>
      <c r="AG45" s="20"/>
      <c r="AH45" s="20"/>
      <c r="AI45" s="20"/>
      <c r="AJ45" s="20"/>
    </row>
    <row r="46" spans="1:50" ht="15.75" x14ac:dyDescent="0.25">
      <c r="A46" s="7"/>
      <c r="U46" s="62"/>
      <c r="Y46" s="25"/>
      <c r="Z46" s="25" t="s">
        <v>32</v>
      </c>
      <c r="AA46" s="25" t="s">
        <v>32</v>
      </c>
      <c r="AB46" s="25" t="s">
        <v>38</v>
      </c>
      <c r="AC46" s="20">
        <f>IF(OR(ISERROR(VLOOKUP($Y$34&amp;$Z46&amp;$AB46,'Stage data'!$A$3:$AE$128,5,FALSE)),ISBLANK(VLOOKUP($Y$34&amp;$Z46&amp;$AB46,'Stage data'!$A$3:$AE$128,5,FALSE))),"",VLOOKUP($Y$34&amp;$Z46&amp;$AB46,'Stage data'!$A$3:$AE$128,5,FALSE))</f>
        <v>0.29363001745200701</v>
      </c>
      <c r="AD46" s="20">
        <f>IF(OR(ISERROR(VLOOKUP($Y$34&amp;$Z46&amp;$AB46,'Stage data'!$A$3:$AE$128,6,FALSE)),ISBLANK(VLOOKUP($Y$34&amp;$Z46&amp;$AB46,'Stage data'!$A$3:$AE$128,6,FALSE))),"",VLOOKUP($Y$34&amp;$Z46&amp;$AB46,'Stage data'!$A$3:$AE$128,6,FALSE))</f>
        <v>1.0907504363001745E-2</v>
      </c>
      <c r="AE46" s="20">
        <f>IF(OR(ISERROR(VLOOKUP($Y$34&amp;$Z46&amp;$AB46,'Stage data'!$A$3:$AE$128,7,FALSE)),ISBLANK(VLOOKUP($Y$34&amp;$Z46&amp;$AB46,'Stage data'!$A$3:$AE$128,7,FALSE))),"",VLOOKUP($Y$34&amp;$Z46&amp;$AB46,'Stage data'!$A$3:$AE$128,7,FALSE))</f>
        <v>2.006980802792321E-2</v>
      </c>
      <c r="AF46" s="20">
        <f>IF(OR(ISERROR(VLOOKUP($Y$34&amp;$Z46&amp;$AB46,'Stage data'!$A$3:$AE$128,8,FALSE)),ISBLANK(VLOOKUP($Y$34&amp;$Z46&amp;$AB46,'Stage data'!$A$3:$AE$128,8,FALSE))),"",VLOOKUP($Y$34&amp;$Z46&amp;$AB46,'Stage data'!$A$3:$AE$128,8,FALSE))</f>
        <v>9.293193717277487E-2</v>
      </c>
      <c r="AG46" s="20">
        <f>IF(OR(ISERROR(VLOOKUP($Y$34&amp;$Z46&amp;$AB46,'Stage data'!$A$3:$AE$128,9,FALSE)),ISBLANK(VLOOKUP($Y$34&amp;$Z46&amp;$AB46,'Stage data'!$A$3:$AE$128,9,FALSE))),"",VLOOKUP($Y$34&amp;$Z46&amp;$AB46,'Stage data'!$A$3:$AE$128,9,FALSE))</f>
        <v>0.33769633507853403</v>
      </c>
      <c r="AH46" s="20">
        <f>IF(OR(ISERROR(VLOOKUP($Y$34&amp;$Z46&amp;$AB46,'Stage data'!$A$3:$AE$128,10,FALSE)),ISBLANK(VLOOKUP($Y$34&amp;$Z46&amp;$AB46,'Stage data'!$A$3:$AE$128,10,FALSE))),"",VLOOKUP($Y$34&amp;$Z46&amp;$AB46,'Stage data'!$A$3:$AE$128,10,FALSE))</f>
        <v>1.1343804537521814E-2</v>
      </c>
      <c r="AI46" s="20">
        <f>IF(OR(ISERROR(VLOOKUP($Y$34&amp;$Z46&amp;$AB46,'Stage data'!$A$3:$AE$128,11,FALSE)),ISBLANK(VLOOKUP($Y$34&amp;$Z46&amp;$AB46,'Stage data'!$A$3:$AE$128,11,FALSE))),"",VLOOKUP($Y$34&amp;$Z46&amp;$AB46,'Stage data'!$A$3:$AE$128,11,FALSE))</f>
        <v>9.2495636998254804E-2</v>
      </c>
      <c r="AJ46" s="20">
        <f>IF(OR(ISERROR(VLOOKUP($Y$34&amp;$Z46&amp;$AB46,'Stage data'!$A$3:$AE$128,12,FALSE)),ISBLANK(VLOOKUP($Y$34&amp;$Z46&amp;$AB46,'Stage data'!$A$3:$AE$128,12,FALSE))),"",VLOOKUP($Y$34&amp;$Z46&amp;$AB46,'Stage data'!$A$3:$AE$128,12,FALSE))</f>
        <v>0.14092495636998253</v>
      </c>
    </row>
    <row r="47" spans="1:50" x14ac:dyDescent="0.25">
      <c r="U47" s="62"/>
      <c r="Y47" s="25"/>
      <c r="Z47" s="25" t="s">
        <v>32</v>
      </c>
      <c r="AA47" s="33"/>
      <c r="AB47" s="25" t="s">
        <v>39</v>
      </c>
      <c r="AC47" s="20">
        <f>IF(OR(ISERROR(VLOOKUP($Y$34&amp;$Z47&amp;$AB47,'Stage data'!$A$3:$AE$128,5,FALSE)),ISBLANK(VLOOKUP($Y$34&amp;$Z47&amp;$AB47,'Stage data'!$A$3:$AE$128,5,FALSE))),"",VLOOKUP($Y$34&amp;$Z47&amp;$AB47,'Stage data'!$A$3:$AE$128,5,FALSE))</f>
        <v>3.8391224862888484E-2</v>
      </c>
      <c r="AD47" s="20">
        <f>IF(OR(ISERROR(VLOOKUP($Y$34&amp;$Z47&amp;$AB47,'Stage data'!$A$3:$AE$128,6,FALSE)),ISBLANK(VLOOKUP($Y$34&amp;$Z47&amp;$AB47,'Stage data'!$A$3:$AE$128,6,FALSE))),"",VLOOKUP($Y$34&amp;$Z47&amp;$AB47,'Stage data'!$A$3:$AE$128,6,FALSE))</f>
        <v>0.15356489945155394</v>
      </c>
      <c r="AE47" s="20">
        <f>IF(OR(ISERROR(VLOOKUP($Y$34&amp;$Z47&amp;$AB47,'Stage data'!$A$3:$AE$128,7,FALSE)),ISBLANK(VLOOKUP($Y$34&amp;$Z47&amp;$AB47,'Stage data'!$A$3:$AE$128,7,FALSE))),"",VLOOKUP($Y$34&amp;$Z47&amp;$AB47,'Stage data'!$A$3:$AE$128,7,FALSE))</f>
        <v>8.226691042047532E-2</v>
      </c>
      <c r="AF47" s="20">
        <f>IF(OR(ISERROR(VLOOKUP($Y$34&amp;$Z47&amp;$AB47,'Stage data'!$A$3:$AE$128,8,FALSE)),ISBLANK(VLOOKUP($Y$34&amp;$Z47&amp;$AB47,'Stage data'!$A$3:$AE$128,8,FALSE))),"",VLOOKUP($Y$34&amp;$Z47&amp;$AB47,'Stage data'!$A$3:$AE$128,8,FALSE))</f>
        <v>6.0329067641681902E-2</v>
      </c>
      <c r="AG47" s="20">
        <f>IF(OR(ISERROR(VLOOKUP($Y$34&amp;$Z47&amp;$AB47,'Stage data'!$A$3:$AE$128,9,FALSE)),ISBLANK(VLOOKUP($Y$34&amp;$Z47&amp;$AB47,'Stage data'!$A$3:$AE$128,9,FALSE))),"",VLOOKUP($Y$34&amp;$Z47&amp;$AB47,'Stage data'!$A$3:$AE$128,9,FALSE))</f>
        <v>8.957952468007313E-2</v>
      </c>
      <c r="AH47" s="20">
        <f>IF(OR(ISERROR(VLOOKUP($Y$34&amp;$Z47&amp;$AB47,'Stage data'!$A$3:$AE$128,10,FALSE)),ISBLANK(VLOOKUP($Y$34&amp;$Z47&amp;$AB47,'Stage data'!$A$3:$AE$128,10,FALSE))),"",VLOOKUP($Y$34&amp;$Z47&amp;$AB47,'Stage data'!$A$3:$AE$128,10,FALSE))</f>
        <v>0.10786106032906764</v>
      </c>
      <c r="AI47" s="20">
        <f>IF(OR(ISERROR(VLOOKUP($Y$34&amp;$Z47&amp;$AB47,'Stage data'!$A$3:$AE$128,11,FALSE)),ISBLANK(VLOOKUP($Y$34&amp;$Z47&amp;$AB47,'Stage data'!$A$3:$AE$128,11,FALSE))),"",VLOOKUP($Y$34&amp;$Z47&amp;$AB47,'Stage data'!$A$3:$AE$128,11,FALSE))</f>
        <v>0.24680073126142596</v>
      </c>
      <c r="AJ47" s="20">
        <f>IF(OR(ISERROR(VLOOKUP($Y$34&amp;$Z47&amp;$AB47,'Stage data'!$A$3:$AE$128,12,FALSE)),ISBLANK(VLOOKUP($Y$34&amp;$Z47&amp;$AB47,'Stage data'!$A$3:$AE$128,12,FALSE))),"",VLOOKUP($Y$34&amp;$Z47&amp;$AB47,'Stage data'!$A$3:$AE$128,12,FALSE))</f>
        <v>0.22120658135283364</v>
      </c>
    </row>
    <row r="48" spans="1:50" ht="15.75" x14ac:dyDescent="0.25">
      <c r="A48" s="7"/>
      <c r="U48" s="62"/>
      <c r="Y48" s="25"/>
      <c r="Z48" s="25" t="s">
        <v>32</v>
      </c>
      <c r="AA48" s="25"/>
      <c r="AB48" s="25" t="s">
        <v>4</v>
      </c>
      <c r="AC48" s="20">
        <f>IF(OR(ISERROR(VLOOKUP($Y$34&amp;$Z48&amp;$AB48,'Stage data'!$A$3:$AE$128,5,FALSE)),ISBLANK(VLOOKUP($Y$34&amp;$Z48&amp;$AB48,'Stage data'!$A$3:$AE$128,5,FALSE))),"",VLOOKUP($Y$34&amp;$Z48&amp;$AB48,'Stage data'!$A$3:$AE$128,5,FALSE))</f>
        <v>0.18037135278514588</v>
      </c>
      <c r="AD48" s="20">
        <f>IF(OR(ISERROR(VLOOKUP($Y$34&amp;$Z48&amp;$AB48,'Stage data'!$A$3:$AE$128,6,FALSE)),ISBLANK(VLOOKUP($Y$34&amp;$Z48&amp;$AB48,'Stage data'!$A$3:$AE$128,6,FALSE))),"",VLOOKUP($Y$34&amp;$Z48&amp;$AB48,'Stage data'!$A$3:$AE$128,6,FALSE))</f>
        <v>8.6206896551724144E-2</v>
      </c>
      <c r="AE48" s="20">
        <f>IF(OR(ISERROR(VLOOKUP($Y$34&amp;$Z48&amp;$AB48,'Stage data'!$A$3:$AE$128,7,FALSE)),ISBLANK(VLOOKUP($Y$34&amp;$Z48&amp;$AB48,'Stage data'!$A$3:$AE$128,7,FALSE))),"",VLOOKUP($Y$34&amp;$Z48&amp;$AB48,'Stage data'!$A$3:$AE$128,7,FALSE))</f>
        <v>4.5092838196286469E-2</v>
      </c>
      <c r="AF48" s="20">
        <f>IF(OR(ISERROR(VLOOKUP($Y$34&amp;$Z48&amp;$AB48,'Stage data'!$A$3:$AE$128,8,FALSE)),ISBLANK(VLOOKUP($Y$34&amp;$Z48&amp;$AB48,'Stage data'!$A$3:$AE$128,8,FALSE))),"",VLOOKUP($Y$34&amp;$Z48&amp;$AB48,'Stage data'!$A$3:$AE$128,8,FALSE))</f>
        <v>4.5092838196286469E-2</v>
      </c>
      <c r="AG48" s="20">
        <f>IF(OR(ISERROR(VLOOKUP($Y$34&amp;$Z48&amp;$AB48,'Stage data'!$A$3:$AE$128,9,FALSE)),ISBLANK(VLOOKUP($Y$34&amp;$Z48&amp;$AB48,'Stage data'!$A$3:$AE$128,9,FALSE))),"",VLOOKUP($Y$34&amp;$Z48&amp;$AB48,'Stage data'!$A$3:$AE$128,9,FALSE))</f>
        <v>0.10212201591511937</v>
      </c>
      <c r="AH48" s="20">
        <f>IF(OR(ISERROR(VLOOKUP($Y$34&amp;$Z48&amp;$AB48,'Stage data'!$A$3:$AE$128,10,FALSE)),ISBLANK(VLOOKUP($Y$34&amp;$Z48&amp;$AB48,'Stage data'!$A$3:$AE$128,10,FALSE))),"",VLOOKUP($Y$34&amp;$Z48&amp;$AB48,'Stage data'!$A$3:$AE$128,10,FALSE))</f>
        <v>4.7745358090185673E-2</v>
      </c>
      <c r="AI48" s="20">
        <f>IF(OR(ISERROR(VLOOKUP($Y$34&amp;$Z48&amp;$AB48,'Stage data'!$A$3:$AE$128,11,FALSE)),ISBLANK(VLOOKUP($Y$34&amp;$Z48&amp;$AB48,'Stage data'!$A$3:$AE$128,11,FALSE))),"",VLOOKUP($Y$34&amp;$Z48&amp;$AB48,'Stage data'!$A$3:$AE$128,11,FALSE))</f>
        <v>0.41114058355437666</v>
      </c>
      <c r="AJ48" s="20">
        <f>IF(OR(ISERROR(VLOOKUP($Y$34&amp;$Z48&amp;$AB48,'Stage data'!$A$3:$AE$128,12,FALSE)),ISBLANK(VLOOKUP($Y$34&amp;$Z48&amp;$AB48,'Stage data'!$A$3:$AE$128,12,FALSE))),"",VLOOKUP($Y$34&amp;$Z48&amp;$AB48,'Stage data'!$A$3:$AE$128,12,FALSE))</f>
        <v>8.2228116710875335E-2</v>
      </c>
    </row>
    <row r="49" spans="1:36" x14ac:dyDescent="0.25">
      <c r="U49" s="62"/>
      <c r="Y49" s="25"/>
      <c r="Z49" s="25"/>
      <c r="AA49" s="25"/>
      <c r="AB49" s="25"/>
      <c r="AC49" s="20"/>
      <c r="AD49" s="20"/>
      <c r="AE49" s="20"/>
      <c r="AF49" s="20"/>
      <c r="AG49" s="20"/>
      <c r="AH49" s="20"/>
      <c r="AI49" s="20"/>
      <c r="AJ49" s="20"/>
    </row>
    <row r="50" spans="1:36" ht="15.75" x14ac:dyDescent="0.25">
      <c r="A50" s="7"/>
      <c r="U50" s="62"/>
      <c r="Y50" s="25"/>
      <c r="Z50" s="25" t="s">
        <v>3</v>
      </c>
      <c r="AA50" s="25" t="s">
        <v>3</v>
      </c>
      <c r="AB50" s="25" t="s">
        <v>38</v>
      </c>
      <c r="AC50" s="20">
        <f>IF(OR(ISERROR(VLOOKUP($Y$34&amp;$Z50&amp;$AB50,'Stage data'!$A$3:$AE$128,5,FALSE)),ISBLANK(VLOOKUP($Y$34&amp;$Z50&amp;$AB50,'Stage data'!$A$3:$AE$128,5,FALSE))),"",VLOOKUP($Y$34&amp;$Z50&amp;$AB50,'Stage data'!$A$3:$AE$128,5,FALSE))</f>
        <v>0.17190506735086594</v>
      </c>
      <c r="AD50" s="20">
        <f>IF(OR(ISERROR(VLOOKUP($Y$34&amp;$Z50&amp;$AB50,'Stage data'!$A$3:$AE$128,6,FALSE)),ISBLANK(VLOOKUP($Y$34&amp;$Z50&amp;$AB50,'Stage data'!$A$3:$AE$128,6,FALSE))),"",VLOOKUP($Y$34&amp;$Z50&amp;$AB50,'Stage data'!$A$3:$AE$128,6,FALSE))</f>
        <v>1.3470173187940988E-2</v>
      </c>
      <c r="AE50" s="20">
        <f>IF(OR(ISERROR(VLOOKUP($Y$34&amp;$Z50&amp;$AB50,'Stage data'!$A$3:$AE$128,7,FALSE)),ISBLANK(VLOOKUP($Y$34&amp;$Z50&amp;$AB50,'Stage data'!$A$3:$AE$128,7,FALSE))),"",VLOOKUP($Y$34&amp;$Z50&amp;$AB50,'Stage data'!$A$3:$AE$128,7,FALSE))</f>
        <v>1.731879409878127E-2</v>
      </c>
      <c r="AF50" s="20">
        <f>IF(OR(ISERROR(VLOOKUP($Y$34&amp;$Z50&amp;$AB50,'Stage data'!$A$3:$AE$128,8,FALSE)),ISBLANK(VLOOKUP($Y$34&amp;$Z50&amp;$AB50,'Stage data'!$A$3:$AE$128,8,FALSE))),"",VLOOKUP($Y$34&amp;$Z50&amp;$AB50,'Stage data'!$A$3:$AE$128,8,FALSE))</f>
        <v>3.784477228992944E-2</v>
      </c>
      <c r="AG50" s="20">
        <f>IF(OR(ISERROR(VLOOKUP($Y$34&amp;$Z50&amp;$AB50,'Stage data'!$A$3:$AE$128,9,FALSE)),ISBLANK(VLOOKUP($Y$34&amp;$Z50&amp;$AB50,'Stage data'!$A$3:$AE$128,9,FALSE))),"",VLOOKUP($Y$34&amp;$Z50&amp;$AB50,'Stage data'!$A$3:$AE$128,9,FALSE))</f>
        <v>0.15394483643361129</v>
      </c>
      <c r="AH50" s="20">
        <f>IF(OR(ISERROR(VLOOKUP($Y$34&amp;$Z50&amp;$AB50,'Stage data'!$A$3:$AE$128,10,FALSE)),ISBLANK(VLOOKUP($Y$34&amp;$Z50&amp;$AB50,'Stage data'!$A$3:$AE$128,10,FALSE))),"",VLOOKUP($Y$34&amp;$Z50&amp;$AB50,'Stage data'!$A$3:$AE$128,10,FALSE))</f>
        <v>7.0558050032071837E-3</v>
      </c>
      <c r="AI50" s="20">
        <f>IF(OR(ISERROR(VLOOKUP($Y$34&amp;$Z50&amp;$AB50,'Stage data'!$A$3:$AE$128,11,FALSE)),ISBLANK(VLOOKUP($Y$34&amp;$Z50&amp;$AB50,'Stage data'!$A$3:$AE$128,11,FALSE))),"",VLOOKUP($Y$34&amp;$Z50&amp;$AB50,'Stage data'!$A$3:$AE$128,11,FALSE))</f>
        <v>0.50545221295702369</v>
      </c>
      <c r="AJ50" s="20">
        <f>IF(OR(ISERROR(VLOOKUP($Y$34&amp;$Z50&amp;$AB50,'Stage data'!$A$3:$AE$128,12,FALSE)),ISBLANK(VLOOKUP($Y$34&amp;$Z50&amp;$AB50,'Stage data'!$A$3:$AE$128,12,FALSE))),"",VLOOKUP($Y$34&amp;$Z50&amp;$AB50,'Stage data'!$A$3:$AE$128,12,FALSE))</f>
        <v>9.3008338678640154E-2</v>
      </c>
    </row>
    <row r="51" spans="1:36" x14ac:dyDescent="0.25">
      <c r="U51" s="62"/>
      <c r="Y51" s="25"/>
      <c r="Z51" s="25" t="s">
        <v>3</v>
      </c>
      <c r="AA51" s="33"/>
      <c r="AB51" s="25" t="s">
        <v>39</v>
      </c>
      <c r="AC51" s="20">
        <f>IF(OR(ISERROR(VLOOKUP($Y$34&amp;$Z51&amp;$AB51,'Stage data'!$A$3:$AE$128,5,FALSE)),ISBLANK(VLOOKUP($Y$34&amp;$Z51&amp;$AB51,'Stage data'!$A$3:$AE$128,5,FALSE))),"",VLOOKUP($Y$34&amp;$Z51&amp;$AB51,'Stage data'!$A$3:$AE$128,5,FALSE))</f>
        <v>2.2644927536231884E-2</v>
      </c>
      <c r="AD51" s="20">
        <f>IF(OR(ISERROR(VLOOKUP($Y$34&amp;$Z51&amp;$AB51,'Stage data'!$A$3:$AE$128,6,FALSE)),ISBLANK(VLOOKUP($Y$34&amp;$Z51&amp;$AB51,'Stage data'!$A$3:$AE$128,6,FALSE))),"",VLOOKUP($Y$34&amp;$Z51&amp;$AB51,'Stage data'!$A$3:$AE$128,6,FALSE))</f>
        <v>0.10461956521739131</v>
      </c>
      <c r="AE51" s="20">
        <f>IF(OR(ISERROR(VLOOKUP($Y$34&amp;$Z51&amp;$AB51,'Stage data'!$A$3:$AE$128,7,FALSE)),ISBLANK(VLOOKUP($Y$34&amp;$Z51&amp;$AB51,'Stage data'!$A$3:$AE$128,7,FALSE))),"",VLOOKUP($Y$34&amp;$Z51&amp;$AB51,'Stage data'!$A$3:$AE$128,7,FALSE))</f>
        <v>0.15670289855072464</v>
      </c>
      <c r="AF51" s="20">
        <f>IF(OR(ISERROR(VLOOKUP($Y$34&amp;$Z51&amp;$AB51,'Stage data'!$A$3:$AE$128,8,FALSE)),ISBLANK(VLOOKUP($Y$34&amp;$Z51&amp;$AB51,'Stage data'!$A$3:$AE$128,8,FALSE))),"",VLOOKUP($Y$34&amp;$Z51&amp;$AB51,'Stage data'!$A$3:$AE$128,8,FALSE))</f>
        <v>8.605072463768116E-3</v>
      </c>
      <c r="AG51" s="20">
        <f>IF(OR(ISERROR(VLOOKUP($Y$34&amp;$Z51&amp;$AB51,'Stage data'!$A$3:$AE$128,9,FALSE)),ISBLANK(VLOOKUP($Y$34&amp;$Z51&amp;$AB51,'Stage data'!$A$3:$AE$128,9,FALSE))),"",VLOOKUP($Y$34&amp;$Z51&amp;$AB51,'Stage data'!$A$3:$AE$128,9,FALSE))</f>
        <v>2.5362318840579712E-2</v>
      </c>
      <c r="AH51" s="20">
        <f>IF(OR(ISERROR(VLOOKUP($Y$34&amp;$Z51&amp;$AB51,'Stage data'!$A$3:$AE$128,10,FALSE)),ISBLANK(VLOOKUP($Y$34&amp;$Z51&amp;$AB51,'Stage data'!$A$3:$AE$128,10,FALSE))),"",VLOOKUP($Y$34&amp;$Z51&amp;$AB51,'Stage data'!$A$3:$AE$128,10,FALSE))</f>
        <v>8.9221014492753617E-2</v>
      </c>
      <c r="AI51" s="20">
        <f>IF(OR(ISERROR(VLOOKUP($Y$34&amp;$Z51&amp;$AB51,'Stage data'!$A$3:$AE$128,11,FALSE)),ISBLANK(VLOOKUP($Y$34&amp;$Z51&amp;$AB51,'Stage data'!$A$3:$AE$128,11,FALSE))),"",VLOOKUP($Y$34&amp;$Z51&amp;$AB51,'Stage data'!$A$3:$AE$128,11,FALSE))</f>
        <v>0.54619565217391308</v>
      </c>
      <c r="AJ51" s="20">
        <f>IF(OR(ISERROR(VLOOKUP($Y$34&amp;$Z51&amp;$AB51,'Stage data'!$A$3:$AE$128,12,FALSE)),ISBLANK(VLOOKUP($Y$34&amp;$Z51&amp;$AB51,'Stage data'!$A$3:$AE$128,12,FALSE))),"",VLOOKUP($Y$34&amp;$Z51&amp;$AB51,'Stage data'!$A$3:$AE$128,12,FALSE))</f>
        <v>4.664855072463768E-2</v>
      </c>
    </row>
    <row r="52" spans="1:36" x14ac:dyDescent="0.25">
      <c r="D52" s="4"/>
      <c r="U52" s="62"/>
      <c r="V52" s="5"/>
      <c r="W52" s="5"/>
      <c r="Y52" s="25"/>
      <c r="Z52" s="25" t="s">
        <v>3</v>
      </c>
      <c r="AA52" s="25"/>
      <c r="AB52" s="25" t="s">
        <v>4</v>
      </c>
      <c r="AC52" s="20">
        <f>IF(OR(ISERROR(VLOOKUP($Y$34&amp;$Z52&amp;$AB52,'Stage data'!$A$3:$AE$128,5,FALSE)),ISBLANK(VLOOKUP($Y$34&amp;$Z52&amp;$AB52,'Stage data'!$A$3:$AE$128,5,FALSE))),"",VLOOKUP($Y$34&amp;$Z52&amp;$AB52,'Stage data'!$A$3:$AE$128,5,FALSE))</f>
        <v>4.2746113989637305E-2</v>
      </c>
      <c r="AD52" s="20">
        <f>IF(OR(ISERROR(VLOOKUP($Y$34&amp;$Z52&amp;$AB52,'Stage data'!$A$3:$AE$128,6,FALSE)),ISBLANK(VLOOKUP($Y$34&amp;$Z52&amp;$AB52,'Stage data'!$A$3:$AE$128,6,FALSE))),"",VLOOKUP($Y$34&amp;$Z52&amp;$AB52,'Stage data'!$A$3:$AE$128,6,FALSE))</f>
        <v>2.0077720207253884E-2</v>
      </c>
      <c r="AE52" s="20">
        <f>IF(OR(ISERROR(VLOOKUP($Y$34&amp;$Z52&amp;$AB52,'Stage data'!$A$3:$AE$128,7,FALSE)),ISBLANK(VLOOKUP($Y$34&amp;$Z52&amp;$AB52,'Stage data'!$A$3:$AE$128,7,FALSE))),"",VLOOKUP($Y$34&amp;$Z52&amp;$AB52,'Stage data'!$A$3:$AE$128,7,FALSE))</f>
        <v>4.145077720207254E-2</v>
      </c>
      <c r="AF52" s="20">
        <f>IF(OR(ISERROR(VLOOKUP($Y$34&amp;$Z52&amp;$AB52,'Stage data'!$A$3:$AE$128,8,FALSE)),ISBLANK(VLOOKUP($Y$34&amp;$Z52&amp;$AB52,'Stage data'!$A$3:$AE$128,8,FALSE))),"",VLOOKUP($Y$34&amp;$Z52&amp;$AB52,'Stage data'!$A$3:$AE$128,8,FALSE))</f>
        <v>3.8860103626943004E-3</v>
      </c>
      <c r="AG52" s="20">
        <f>IF(OR(ISERROR(VLOOKUP($Y$34&amp;$Z52&amp;$AB52,'Stage data'!$A$3:$AE$128,9,FALSE)),ISBLANK(VLOOKUP($Y$34&amp;$Z52&amp;$AB52,'Stage data'!$A$3:$AE$128,9,FALSE))),"",VLOOKUP($Y$34&amp;$Z52&amp;$AB52,'Stage data'!$A$3:$AE$128,9,FALSE))</f>
        <v>1.3601036269430052E-2</v>
      </c>
      <c r="AH52" s="20">
        <f>IF(OR(ISERROR(VLOOKUP($Y$34&amp;$Z52&amp;$AB52,'Stage data'!$A$3:$AE$128,10,FALSE)),ISBLANK(VLOOKUP($Y$34&amp;$Z52&amp;$AB52,'Stage data'!$A$3:$AE$128,10,FALSE))),"",VLOOKUP($Y$34&amp;$Z52&amp;$AB52,'Stage data'!$A$3:$AE$128,10,FALSE))</f>
        <v>1.4896373056994818E-2</v>
      </c>
      <c r="AI52" s="20">
        <f>IF(OR(ISERROR(VLOOKUP($Y$34&amp;$Z52&amp;$AB52,'Stage data'!$A$3:$AE$128,11,FALSE)),ISBLANK(VLOOKUP($Y$34&amp;$Z52&amp;$AB52,'Stage data'!$A$3:$AE$128,11,FALSE))),"",VLOOKUP($Y$34&amp;$Z52&amp;$AB52,'Stage data'!$A$3:$AE$128,11,FALSE))</f>
        <v>0.84715025906735753</v>
      </c>
      <c r="AJ52" s="20">
        <f>IF(OR(ISERROR(VLOOKUP($Y$34&amp;$Z52&amp;$AB52,'Stage data'!$A$3:$AE$128,12,FALSE)),ISBLANK(VLOOKUP($Y$34&amp;$Z52&amp;$AB52,'Stage data'!$A$3:$AE$128,12,FALSE))),"",VLOOKUP($Y$34&amp;$Z52&amp;$AB52,'Stage data'!$A$3:$AE$128,12,FALSE))</f>
        <v>1.6191709844559584E-2</v>
      </c>
    </row>
    <row r="53" spans="1:36" x14ac:dyDescent="0.25">
      <c r="U53" s="62"/>
      <c r="Y53" s="25"/>
      <c r="Z53" s="25"/>
      <c r="AA53" s="25"/>
      <c r="AB53" s="25"/>
      <c r="AC53" s="20"/>
      <c r="AD53" s="20"/>
      <c r="AE53" s="20"/>
      <c r="AF53" s="20"/>
      <c r="AG53" s="20"/>
      <c r="AH53" s="20"/>
      <c r="AI53" s="20"/>
      <c r="AJ53" s="20"/>
    </row>
    <row r="54" spans="1:36" x14ac:dyDescent="0.25">
      <c r="U54" s="62"/>
      <c r="Y54" s="25"/>
      <c r="Z54" s="25" t="s">
        <v>4</v>
      </c>
      <c r="AA54" s="25" t="s">
        <v>4</v>
      </c>
      <c r="AB54" s="25" t="s">
        <v>38</v>
      </c>
      <c r="AC54" s="20">
        <f>IF(OR(ISERROR(VLOOKUP($Y$34&amp;$Z54&amp;$AB54,'Stage data'!$A$3:$AE$128,5,FALSE)),ISBLANK(VLOOKUP($Y$34&amp;$Z54&amp;$AB54,'Stage data'!$A$3:$AE$128,5,FALSE))),"",VLOOKUP($Y$34&amp;$Z54&amp;$AB54,'Stage data'!$A$3:$AE$128,5,FALSE))</f>
        <v>0.30302096177558568</v>
      </c>
      <c r="AD54" s="20">
        <f>IF(OR(ISERROR(VLOOKUP($Y$34&amp;$Z54&amp;$AB54,'Stage data'!$A$3:$AE$128,6,FALSE)),ISBLANK(VLOOKUP($Y$34&amp;$Z54&amp;$AB54,'Stage data'!$A$3:$AE$128,6,FALSE))),"",VLOOKUP($Y$34&amp;$Z54&amp;$AB54,'Stage data'!$A$3:$AE$128,6,FALSE))</f>
        <v>1.1405672009864365E-2</v>
      </c>
      <c r="AE54" s="20">
        <f>IF(OR(ISERROR(VLOOKUP($Y$34&amp;$Z54&amp;$AB54,'Stage data'!$A$3:$AE$128,7,FALSE)),ISBLANK(VLOOKUP($Y$34&amp;$Z54&amp;$AB54,'Stage data'!$A$3:$AE$128,7,FALSE))),"",VLOOKUP($Y$34&amp;$Z54&amp;$AB54,'Stage data'!$A$3:$AE$128,7,FALSE))</f>
        <v>4.3464858199753389E-2</v>
      </c>
      <c r="AF54" s="20">
        <f>IF(OR(ISERROR(VLOOKUP($Y$34&amp;$Z54&amp;$AB54,'Stage data'!$A$3:$AE$128,8,FALSE)),ISBLANK(VLOOKUP($Y$34&amp;$Z54&amp;$AB54,'Stage data'!$A$3:$AE$128,8,FALSE))),"",VLOOKUP($Y$34&amp;$Z54&amp;$AB54,'Stage data'!$A$3:$AE$128,8,FALSE))</f>
        <v>6.5659679408138105E-2</v>
      </c>
      <c r="AG54" s="20">
        <f>IF(OR(ISERROR(VLOOKUP($Y$34&amp;$Z54&amp;$AB54,'Stage data'!$A$3:$AE$128,9,FALSE)),ISBLANK(VLOOKUP($Y$34&amp;$Z54&amp;$AB54,'Stage data'!$A$3:$AE$128,9,FALSE))),"",VLOOKUP($Y$34&amp;$Z54&amp;$AB54,'Stage data'!$A$3:$AE$128,9,FALSE))</f>
        <v>0.344019728729963</v>
      </c>
      <c r="AH54" s="20">
        <f>IF(OR(ISERROR(VLOOKUP($Y$34&amp;$Z54&amp;$AB54,'Stage data'!$A$3:$AE$128,10,FALSE)),ISBLANK(VLOOKUP($Y$34&amp;$Z54&amp;$AB54,'Stage data'!$A$3:$AE$128,10,FALSE))),"",VLOOKUP($Y$34&amp;$Z54&amp;$AB54,'Stage data'!$A$3:$AE$128,10,FALSE))</f>
        <v>1.8495684340320593E-2</v>
      </c>
      <c r="AI54" s="20">
        <f>IF(OR(ISERROR(VLOOKUP($Y$34&amp;$Z54&amp;$AB54,'Stage data'!$A$3:$AE$128,11,FALSE)),ISBLANK(VLOOKUP($Y$34&amp;$Z54&amp;$AB54,'Stage data'!$A$3:$AE$128,11,FALSE))),"",VLOOKUP($Y$34&amp;$Z54&amp;$AB54,'Stage data'!$A$3:$AE$128,11,FALSE))</f>
        <v>6.0110974106041923E-2</v>
      </c>
      <c r="AJ54" s="20">
        <f>IF(OR(ISERROR(VLOOKUP($Y$34&amp;$Z54&amp;$AB54,'Stage data'!$A$3:$AE$128,12,FALSE)),ISBLANK(VLOOKUP($Y$34&amp;$Z54&amp;$AB54,'Stage data'!$A$3:$AE$128,12,FALSE))),"",VLOOKUP($Y$34&amp;$Z54&amp;$AB54,'Stage data'!$A$3:$AE$128,12,FALSE))</f>
        <v>0.15382244143033291</v>
      </c>
    </row>
    <row r="55" spans="1:36" x14ac:dyDescent="0.25">
      <c r="U55" s="62"/>
      <c r="Y55" s="25"/>
      <c r="Z55" s="25" t="s">
        <v>4</v>
      </c>
      <c r="AA55" s="25"/>
      <c r="AB55" s="25" t="s">
        <v>39</v>
      </c>
      <c r="AC55" s="20">
        <f>IF(OR(ISERROR(VLOOKUP($Y$34&amp;$Z55&amp;$AB55,'Stage data'!$A$3:$AE$128,5,FALSE)),ISBLANK(VLOOKUP($Y$34&amp;$Z55&amp;$AB55,'Stage data'!$A$3:$AE$128,5,FALSE))),"",VLOOKUP($Y$34&amp;$Z55&amp;$AB55,'Stage data'!$A$3:$AE$128,5,FALSE))</f>
        <v>0.11353711790393013</v>
      </c>
      <c r="AD55" s="20">
        <f>IF(OR(ISERROR(VLOOKUP($Y$34&amp;$Z55&amp;$AB55,'Stage data'!$A$3:$AE$128,6,FALSE)),ISBLANK(VLOOKUP($Y$34&amp;$Z55&amp;$AB55,'Stage data'!$A$3:$AE$128,6,FALSE))),"",VLOOKUP($Y$34&amp;$Z55&amp;$AB55,'Stage data'!$A$3:$AE$128,6,FALSE))</f>
        <v>0.10262008733624454</v>
      </c>
      <c r="AE55" s="20">
        <f>IF(OR(ISERROR(VLOOKUP($Y$34&amp;$Z55&amp;$AB55,'Stage data'!$A$3:$AE$128,7,FALSE)),ISBLANK(VLOOKUP($Y$34&amp;$Z55&amp;$AB55,'Stage data'!$A$3:$AE$128,7,FALSE))),"",VLOOKUP($Y$34&amp;$Z55&amp;$AB55,'Stage data'!$A$3:$AE$128,7,FALSE))</f>
        <v>4.8034934497816595E-2</v>
      </c>
      <c r="AF55" s="20">
        <f>IF(OR(ISERROR(VLOOKUP($Y$34&amp;$Z55&amp;$AB55,'Stage data'!$A$3:$AE$128,8,FALSE)),ISBLANK(VLOOKUP($Y$34&amp;$Z55&amp;$AB55,'Stage data'!$A$3:$AE$128,8,FALSE))),"",VLOOKUP($Y$34&amp;$Z55&amp;$AB55,'Stage data'!$A$3:$AE$128,8,FALSE))</f>
        <v>5.8951965065502182E-2</v>
      </c>
      <c r="AG55" s="20">
        <f>IF(OR(ISERROR(VLOOKUP($Y$34&amp;$Z55&amp;$AB55,'Stage data'!$A$3:$AE$128,9,FALSE)),ISBLANK(VLOOKUP($Y$34&amp;$Z55&amp;$AB55,'Stage data'!$A$3:$AE$128,9,FALSE))),"",VLOOKUP($Y$34&amp;$Z55&amp;$AB55,'Stage data'!$A$3:$AE$128,9,FALSE))</f>
        <v>8.7336244541484712E-2</v>
      </c>
      <c r="AH55" s="20">
        <f>IF(OR(ISERROR(VLOOKUP($Y$34&amp;$Z55&amp;$AB55,'Stage data'!$A$3:$AE$128,10,FALSE)),ISBLANK(VLOOKUP($Y$34&amp;$Z55&amp;$AB55,'Stage data'!$A$3:$AE$128,10,FALSE))),"",VLOOKUP($Y$34&amp;$Z55&amp;$AB55,'Stage data'!$A$3:$AE$128,10,FALSE))</f>
        <v>7.8602620087336247E-2</v>
      </c>
      <c r="AI55" s="20">
        <f>IF(OR(ISERROR(VLOOKUP($Y$34&amp;$Z55&amp;$AB55,'Stage data'!$A$3:$AE$128,11,FALSE)),ISBLANK(VLOOKUP($Y$34&amp;$Z55&amp;$AB55,'Stage data'!$A$3:$AE$128,11,FALSE))),"",VLOOKUP($Y$34&amp;$Z55&amp;$AB55,'Stage data'!$A$3:$AE$128,11,FALSE))</f>
        <v>0.20742358078602621</v>
      </c>
      <c r="AJ55" s="20">
        <f>IF(OR(ISERROR(VLOOKUP($Y$34&amp;$Z55&amp;$AB55,'Stage data'!$A$3:$AE$128,12,FALSE)),ISBLANK(VLOOKUP($Y$34&amp;$Z55&amp;$AB55,'Stage data'!$A$3:$AE$128,12,FALSE))),"",VLOOKUP($Y$34&amp;$Z55&amp;$AB55,'Stage data'!$A$3:$AE$128,12,FALSE))</f>
        <v>0.30349344978165937</v>
      </c>
    </row>
    <row r="56" spans="1:36" x14ac:dyDescent="0.25">
      <c r="U56" s="62"/>
      <c r="Y56" s="25"/>
      <c r="Z56" s="25" t="s">
        <v>4</v>
      </c>
      <c r="AA56" s="25"/>
      <c r="AB56" s="25" t="s">
        <v>4</v>
      </c>
      <c r="AC56" s="20">
        <f>IF(OR(ISERROR(VLOOKUP($Y$34&amp;$Z56&amp;$AB56,'Stage data'!$A$3:$AE$128,5,FALSE)),ISBLANK(VLOOKUP($Y$34&amp;$Z56&amp;$AB56,'Stage data'!$A$3:$AE$128,5,FALSE))),"",VLOOKUP($Y$34&amp;$Z56&amp;$AB56,'Stage data'!$A$3:$AE$128,5,FALSE))</f>
        <v>0.1901081916537867</v>
      </c>
      <c r="AD56" s="20">
        <f>IF(OR(ISERROR(VLOOKUP($Y$34&amp;$Z56&amp;$AB56,'Stage data'!$A$3:$AE$128,6,FALSE)),ISBLANK(VLOOKUP($Y$34&amp;$Z56&amp;$AB56,'Stage data'!$A$3:$AE$128,6,FALSE))),"",VLOOKUP($Y$34&amp;$Z56&amp;$AB56,'Stage data'!$A$3:$AE$128,6,FALSE))</f>
        <v>2.6275115919629059E-2</v>
      </c>
      <c r="AE56" s="20">
        <f>IF(OR(ISERROR(VLOOKUP($Y$34&amp;$Z56&amp;$AB56,'Stage data'!$A$3:$AE$128,7,FALSE)),ISBLANK(VLOOKUP($Y$34&amp;$Z56&amp;$AB56,'Stage data'!$A$3:$AE$128,7,FALSE))),"",VLOOKUP($Y$34&amp;$Z56&amp;$AB56,'Stage data'!$A$3:$AE$128,7,FALSE))</f>
        <v>7.6506955177743433E-2</v>
      </c>
      <c r="AF56" s="20">
        <f>IF(OR(ISERROR(VLOOKUP($Y$34&amp;$Z56&amp;$AB56,'Stage data'!$A$3:$AE$128,8,FALSE)),ISBLANK(VLOOKUP($Y$34&amp;$Z56&amp;$AB56,'Stage data'!$A$3:$AE$128,8,FALSE))),"",VLOOKUP($Y$34&amp;$Z56&amp;$AB56,'Stage data'!$A$3:$AE$128,8,FALSE))</f>
        <v>4.4049459041731069E-2</v>
      </c>
      <c r="AG56" s="20">
        <f>IF(OR(ISERROR(VLOOKUP($Y$34&amp;$Z56&amp;$AB56,'Stage data'!$A$3:$AE$128,9,FALSE)),ISBLANK(VLOOKUP($Y$34&amp;$Z56&amp;$AB56,'Stage data'!$A$3:$AE$128,9,FALSE))),"",VLOOKUP($Y$34&amp;$Z56&amp;$AB56,'Stage data'!$A$3:$AE$128,9,FALSE))</f>
        <v>8.3462132921174659E-2</v>
      </c>
      <c r="AH56" s="20">
        <f>IF(OR(ISERROR(VLOOKUP($Y$34&amp;$Z56&amp;$AB56,'Stage data'!$A$3:$AE$128,10,FALSE)),ISBLANK(VLOOKUP($Y$34&amp;$Z56&amp;$AB56,'Stage data'!$A$3:$AE$128,10,FALSE))),"",VLOOKUP($Y$34&amp;$Z56&amp;$AB56,'Stage data'!$A$3:$AE$128,10,FALSE))</f>
        <v>3.4775888717156103E-2</v>
      </c>
      <c r="AI56" s="20">
        <f>IF(OR(ISERROR(VLOOKUP($Y$34&amp;$Z56&amp;$AB56,'Stage data'!$A$3:$AE$128,11,FALSE)),ISBLANK(VLOOKUP($Y$34&amp;$Z56&amp;$AB56,'Stage data'!$A$3:$AE$128,11,FALSE))),"",VLOOKUP($Y$34&amp;$Z56&amp;$AB56,'Stage data'!$A$3:$AE$128,11,FALSE))</f>
        <v>0.48531684698608962</v>
      </c>
      <c r="AJ56" s="20">
        <f>IF(OR(ISERROR(VLOOKUP($Y$34&amp;$Z56&amp;$AB56,'Stage data'!$A$3:$AE$128,12,FALSE)),ISBLANK(VLOOKUP($Y$34&amp;$Z56&amp;$AB56,'Stage data'!$A$3:$AE$128,12,FALSE))),"",VLOOKUP($Y$34&amp;$Z56&amp;$AB56,'Stage data'!$A$3:$AE$128,12,FALSE))</f>
        <v>5.9505409582689336E-2</v>
      </c>
    </row>
    <row r="57" spans="1:36" x14ac:dyDescent="0.25">
      <c r="U57" s="62"/>
      <c r="Y57" s="25"/>
      <c r="Z57" s="25"/>
      <c r="AA57" s="25"/>
      <c r="AB57" s="25"/>
      <c r="AC57" s="20"/>
      <c r="AD57" s="20"/>
      <c r="AE57" s="20"/>
      <c r="AF57" s="20"/>
      <c r="AG57" s="20"/>
      <c r="AH57" s="20"/>
      <c r="AI57" s="20"/>
      <c r="AJ57" s="20"/>
    </row>
    <row r="58" spans="1:36" x14ac:dyDescent="0.25">
      <c r="Y58" s="25"/>
      <c r="Z58" s="25" t="s">
        <v>34</v>
      </c>
      <c r="AA58" s="25" t="s">
        <v>34</v>
      </c>
      <c r="AB58" s="25" t="s">
        <v>38</v>
      </c>
      <c r="AC58" s="20">
        <f>IF(OR(ISERROR(VLOOKUP($Y$34&amp;$Z58&amp;$AB58,'Stage data'!$A$3:$AE$128,5,FALSE)),ISBLANK(VLOOKUP($Y$34&amp;$Z58&amp;$AB58,'Stage data'!$A$3:$AE$128,5,FALSE))),"",VLOOKUP($Y$34&amp;$Z58&amp;$AB58,'Stage data'!$A$3:$AE$128,5,FALSE))</f>
        <v>0.18197967325781181</v>
      </c>
      <c r="AD58" s="20">
        <f>IF(OR(ISERROR(VLOOKUP($Y$34&amp;$Z58&amp;$AB58,'Stage data'!$A$3:$AE$128,6,FALSE)),ISBLANK(VLOOKUP($Y$34&amp;$Z58&amp;$AB58,'Stage data'!$A$3:$AE$128,6,FALSE))),"",VLOOKUP($Y$34&amp;$Z58&amp;$AB58,'Stage data'!$A$3:$AE$128,6,FALSE))</f>
        <v>4.2808468505198174E-3</v>
      </c>
      <c r="AE58" s="20">
        <f>IF(OR(ISERROR(VLOOKUP($Y$34&amp;$Z58&amp;$AB58,'Stage data'!$A$3:$AE$128,7,FALSE)),ISBLANK(VLOOKUP($Y$34&amp;$Z58&amp;$AB58,'Stage data'!$A$3:$AE$128,7,FALSE))),"",VLOOKUP($Y$34&amp;$Z58&amp;$AB58,'Stage data'!$A$3:$AE$128,7,FALSE))</f>
        <v>1.00177640583593E-2</v>
      </c>
      <c r="AF58" s="20">
        <f>IF(OR(ISERROR(VLOOKUP($Y$34&amp;$Z58&amp;$AB58,'Stage data'!$A$3:$AE$128,8,FALSE)),ISBLANK(VLOOKUP($Y$34&amp;$Z58&amp;$AB58,'Stage data'!$A$3:$AE$128,8,FALSE))),"",VLOOKUP($Y$34&amp;$Z58&amp;$AB58,'Stage data'!$A$3:$AE$128,8,FALSE))</f>
        <v>6.322257491481989E-2</v>
      </c>
      <c r="AG58" s="20">
        <f>IF(OR(ISERROR(VLOOKUP($Y$34&amp;$Z58&amp;$AB58,'Stage data'!$A$3:$AE$128,9,FALSE)),ISBLANK(VLOOKUP($Y$34&amp;$Z58&amp;$AB58,'Stage data'!$A$3:$AE$128,9,FALSE))),"",VLOOKUP($Y$34&amp;$Z58&amp;$AB58,'Stage data'!$A$3:$AE$128,9,FALSE))</f>
        <v>0.41857169205082656</v>
      </c>
      <c r="AH58" s="20">
        <f>IF(OR(ISERROR(VLOOKUP($Y$34&amp;$Z58&amp;$AB58,'Stage data'!$A$3:$AE$128,10,FALSE)),ISBLANK(VLOOKUP($Y$34&amp;$Z58&amp;$AB58,'Stage data'!$A$3:$AE$128,10,FALSE))),"",VLOOKUP($Y$34&amp;$Z58&amp;$AB58,'Stage data'!$A$3:$AE$128,10,FALSE))</f>
        <v>5.5816030363920518E-3</v>
      </c>
      <c r="AI58" s="20">
        <f>IF(OR(ISERROR(VLOOKUP($Y$34&amp;$Z58&amp;$AB58,'Stage data'!$A$3:$AE$128,11,FALSE)),ISBLANK(VLOOKUP($Y$34&amp;$Z58&amp;$AB58,'Stage data'!$A$3:$AE$128,11,FALSE))),"",VLOOKUP($Y$34&amp;$Z58&amp;$AB58,'Stage data'!$A$3:$AE$128,11,FALSE))</f>
        <v>8.1035168952697134E-2</v>
      </c>
      <c r="AJ58" s="20">
        <f>IF(OR(ISERROR(VLOOKUP($Y$34&amp;$Z58&amp;$AB58,'Stage data'!$A$3:$AE$128,12,FALSE)),ISBLANK(VLOOKUP($Y$34&amp;$Z58&amp;$AB58,'Stage data'!$A$3:$AE$128,12,FALSE))),"",VLOOKUP($Y$34&amp;$Z58&amp;$AB58,'Stage data'!$A$3:$AE$128,12,FALSE))</f>
        <v>0.23531067687857343</v>
      </c>
    </row>
    <row r="59" spans="1:36" x14ac:dyDescent="0.25">
      <c r="Y59" s="25"/>
      <c r="Z59" s="25" t="s">
        <v>34</v>
      </c>
      <c r="AA59" s="33"/>
      <c r="AB59" s="25" t="s">
        <v>39</v>
      </c>
      <c r="AC59" s="20">
        <f>IF(OR(ISERROR(VLOOKUP($Y$34&amp;$Z59&amp;$AB59,'Stage data'!$A$3:$AE$128,5,FALSE)),ISBLANK(VLOOKUP($Y$34&amp;$Z59&amp;$AB59,'Stage data'!$A$3:$AE$128,5,FALSE))),"",VLOOKUP($Y$34&amp;$Z59&amp;$AB59,'Stage data'!$A$3:$AE$128,5,FALSE))</f>
        <v>4.6987495263357333E-2</v>
      </c>
      <c r="AD59" s="20">
        <f>IF(OR(ISERROR(VLOOKUP($Y$34&amp;$Z59&amp;$AB59,'Stage data'!$A$3:$AE$128,6,FALSE)),ISBLANK(VLOOKUP($Y$34&amp;$Z59&amp;$AB59,'Stage data'!$A$3:$AE$128,6,FALSE))),"",VLOOKUP($Y$34&amp;$Z59&amp;$AB59,'Stage data'!$A$3:$AE$128,6,FALSE))</f>
        <v>7.9521463757916966E-2</v>
      </c>
      <c r="AE59" s="20">
        <f>IF(OR(ISERROR(VLOOKUP($Y$34&amp;$Z59&amp;$AB59,'Stage data'!$A$3:$AE$128,7,FALSE)),ISBLANK(VLOOKUP($Y$34&amp;$Z59&amp;$AB59,'Stage data'!$A$3:$AE$128,7,FALSE))),"",VLOOKUP($Y$34&amp;$Z59&amp;$AB59,'Stage data'!$A$3:$AE$128,7,FALSE))</f>
        <v>5.3375196232339092E-2</v>
      </c>
      <c r="AF59" s="20">
        <f>IF(OR(ISERROR(VLOOKUP($Y$34&amp;$Z59&amp;$AB59,'Stage data'!$A$3:$AE$128,8,FALSE)),ISBLANK(VLOOKUP($Y$34&amp;$Z59&amp;$AB59,'Stage data'!$A$3:$AE$128,8,FALSE))),"",VLOOKUP($Y$34&amp;$Z59&amp;$AB59,'Stage data'!$A$3:$AE$128,8,FALSE))</f>
        <v>5.256320034645158E-2</v>
      </c>
      <c r="AG59" s="20">
        <f>IF(OR(ISERROR(VLOOKUP($Y$34&amp;$Z59&amp;$AB59,'Stage data'!$A$3:$AE$128,9,FALSE)),ISBLANK(VLOOKUP($Y$34&amp;$Z59&amp;$AB59,'Stage data'!$A$3:$AE$128,9,FALSE))),"",VLOOKUP($Y$34&amp;$Z59&amp;$AB59,'Stage data'!$A$3:$AE$128,9,FALSE))</f>
        <v>0.11005250906728739</v>
      </c>
      <c r="AH59" s="20">
        <f>IF(OR(ISERROR(VLOOKUP($Y$34&amp;$Z59&amp;$AB59,'Stage data'!$A$3:$AE$128,10,FALSE)),ISBLANK(VLOOKUP($Y$34&amp;$Z59&amp;$AB59,'Stage data'!$A$3:$AE$128,10,FALSE))),"",VLOOKUP($Y$34&amp;$Z59&amp;$AB59,'Stage data'!$A$3:$AE$128,10,FALSE))</f>
        <v>4.9964813511611542E-2</v>
      </c>
      <c r="AI59" s="20">
        <f>IF(OR(ISERROR(VLOOKUP($Y$34&amp;$Z59&amp;$AB59,'Stage data'!$A$3:$AE$128,11,FALSE)),ISBLANK(VLOOKUP($Y$34&amp;$Z59&amp;$AB59,'Stage data'!$A$3:$AE$128,11,FALSE))),"",VLOOKUP($Y$34&amp;$Z59&amp;$AB59,'Stage data'!$A$3:$AE$128,11,FALSE))</f>
        <v>0.18443133221458344</v>
      </c>
      <c r="AJ59" s="20">
        <f>IF(OR(ISERROR(VLOOKUP($Y$34&amp;$Z59&amp;$AB59,'Stage data'!$A$3:$AE$128,12,FALSE)),ISBLANK(VLOOKUP($Y$34&amp;$Z59&amp;$AB59,'Stage data'!$A$3:$AE$128,12,FALSE))),"",VLOOKUP($Y$34&amp;$Z59&amp;$AB59,'Stage data'!$A$3:$AE$128,12,FALSE))</f>
        <v>0.42310398960645268</v>
      </c>
    </row>
    <row r="60" spans="1:36" x14ac:dyDescent="0.25">
      <c r="Y60" s="25"/>
      <c r="Z60" s="25" t="s">
        <v>34</v>
      </c>
      <c r="AA60" s="25"/>
      <c r="AB60" s="25" t="s">
        <v>4</v>
      </c>
      <c r="AC60" s="20">
        <f>IF(OR(ISERROR(VLOOKUP($Y$34&amp;$Z60&amp;$AB60,'Stage data'!$A$3:$AE$128,5,FALSE)),ISBLANK(VLOOKUP($Y$34&amp;$Z60&amp;$AB60,'Stage data'!$A$3:$AE$128,5,FALSE))),"",VLOOKUP($Y$34&amp;$Z60&amp;$AB60,'Stage data'!$A$3:$AE$128,5,FALSE))</f>
        <v>0.13627748294162245</v>
      </c>
      <c r="AD60" s="20">
        <f>IF(OR(ISERROR(VLOOKUP($Y$34&amp;$Z60&amp;$AB60,'Stage data'!$A$3:$AE$128,6,FALSE)),ISBLANK(VLOOKUP($Y$34&amp;$Z60&amp;$AB60,'Stage data'!$A$3:$AE$128,6,FALSE))),"",VLOOKUP($Y$34&amp;$Z60&amp;$AB60,'Stage data'!$A$3:$AE$128,6,FALSE))</f>
        <v>2.7862016679302503E-2</v>
      </c>
      <c r="AE60" s="20">
        <f>IF(OR(ISERROR(VLOOKUP($Y$34&amp;$Z60&amp;$AB60,'Stage data'!$A$3:$AE$128,7,FALSE)),ISBLANK(VLOOKUP($Y$34&amp;$Z60&amp;$AB60,'Stage data'!$A$3:$AE$128,7,FALSE))),"",VLOOKUP($Y$34&amp;$Z60&amp;$AB60,'Stage data'!$A$3:$AE$128,7,FALSE))</f>
        <v>3.626484710639373E-2</v>
      </c>
      <c r="AF60" s="20">
        <f>IF(OR(ISERROR(VLOOKUP($Y$34&amp;$Z60&amp;$AB60,'Stage data'!$A$3:$AE$128,8,FALSE)),ISBLANK(VLOOKUP($Y$34&amp;$Z60&amp;$AB60,'Stage data'!$A$3:$AE$128,8,FALSE))),"",VLOOKUP($Y$34&amp;$Z60&amp;$AB60,'Stage data'!$A$3:$AE$128,8,FALSE))</f>
        <v>3.8539297447561287E-2</v>
      </c>
      <c r="AG60" s="20">
        <f>IF(OR(ISERROR(VLOOKUP($Y$34&amp;$Z60&amp;$AB60,'Stage data'!$A$3:$AE$128,9,FALSE)),ISBLANK(VLOOKUP($Y$34&amp;$Z60&amp;$AB60,'Stage data'!$A$3:$AE$128,9,FALSE))),"",VLOOKUP($Y$34&amp;$Z60&amp;$AB60,'Stage data'!$A$3:$AE$128,9,FALSE))</f>
        <v>0.12496841041192823</v>
      </c>
      <c r="AH60" s="20">
        <f>IF(OR(ISERROR(VLOOKUP($Y$34&amp;$Z60&amp;$AB60,'Stage data'!$A$3:$AE$128,10,FALSE)),ISBLANK(VLOOKUP($Y$34&amp;$Z60&amp;$AB60,'Stage data'!$A$3:$AE$128,10,FALSE))),"",VLOOKUP($Y$34&amp;$Z60&amp;$AB60,'Stage data'!$A$3:$AE$128,10,FALSE))</f>
        <v>2.0912307303512762E-2</v>
      </c>
      <c r="AI60" s="20">
        <f>IF(OR(ISERROR(VLOOKUP($Y$34&amp;$Z60&amp;$AB60,'Stage data'!$A$3:$AE$128,11,FALSE)),ISBLANK(VLOOKUP($Y$34&amp;$Z60&amp;$AB60,'Stage data'!$A$3:$AE$128,11,FALSE))),"",VLOOKUP($Y$34&amp;$Z60&amp;$AB60,'Stage data'!$A$3:$AE$128,11,FALSE))</f>
        <v>0.44737174627242859</v>
      </c>
      <c r="AJ60" s="20">
        <f>IF(OR(ISERROR(VLOOKUP($Y$34&amp;$Z60&amp;$AB60,'Stage data'!$A$3:$AE$128,12,FALSE)),ISBLANK(VLOOKUP($Y$34&amp;$Z60&amp;$AB60,'Stage data'!$A$3:$AE$128,12,FALSE))),"",VLOOKUP($Y$34&amp;$Z60&amp;$AB60,'Stage data'!$A$3:$AE$128,12,FALSE))</f>
        <v>0.16780389183725045</v>
      </c>
    </row>
    <row r="61" spans="1:36" x14ac:dyDescent="0.25">
      <c r="Z61" s="62"/>
      <c r="AA61" s="65"/>
      <c r="AB61" s="62"/>
      <c r="AC61" s="64" t="str">
        <f>IF(OR(ISERROR(VLOOKUP($Y$7&amp;$AB61&amp;$Z61,'Stage data'!$A$3:$AE$128,5,FALSE)),ISBLANK(VLOOKUP($Y$7&amp;$AB61&amp;$Z61,'Stage data'!$A$3:$AE$128,5,FALSE))),"",VLOOKUP($Y$7&amp;$AB61&amp;$Z61,'Stage data'!$A$3:$AE$128,5,FALSE))</f>
        <v/>
      </c>
      <c r="AD61" s="64" t="str">
        <f>IF(OR(ISERROR(VLOOKUP($Y$7&amp;$AB61&amp;$Z61,'Stage data'!$A$3:$AE$128,6,FALSE)),ISBLANK(VLOOKUP($Y$7&amp;$AB61&amp;$Z61,'Stage data'!$A$3:$AE$128,6,FALSE))),"",VLOOKUP($Y$7&amp;$AB61&amp;$Z61,'Stage data'!$A$3:$AE$128,6,FALSE))</f>
        <v/>
      </c>
      <c r="AE61" s="64" t="str">
        <f>IF(OR(ISERROR(VLOOKUP($Y$7&amp;$AB61&amp;$Z61,'Stage data'!$A$3:$AE$128,7,FALSE)),ISBLANK(VLOOKUP($Y$7&amp;$AB61&amp;$Z61,'Stage data'!$A$3:$AE$128,7,FALSE))),"",VLOOKUP($Y$7&amp;$AB61&amp;$Z61,'Stage data'!$A$3:$AE$128,7,FALSE))</f>
        <v/>
      </c>
      <c r="AF61" s="64" t="str">
        <f>IF(OR(ISERROR(VLOOKUP($Y$7&amp;$AB61&amp;$Z61,'Stage data'!$A$3:$AE$128,8,FALSE)),ISBLANK(VLOOKUP($Y$7&amp;$AB61&amp;$Z61,'Stage data'!$A$3:$AE$128,8,FALSE))),"",VLOOKUP($Y$7&amp;$AB61&amp;$Z61,'Stage data'!$A$3:$AE$128,8,FALSE))</f>
        <v/>
      </c>
      <c r="AG61" s="64" t="str">
        <f>IF(OR(ISERROR(VLOOKUP($Y$7&amp;$AB61&amp;$Z61,'Stage data'!$A$3:$AE$128,9,FALSE)),ISBLANK(VLOOKUP($Y$7&amp;$AB61&amp;$Z61,'Stage data'!$A$3:$AE$128,9,FALSE))),"",VLOOKUP($Y$7&amp;$AB61&amp;$Z61,'Stage data'!$A$3:$AE$128,9,FALSE))</f>
        <v/>
      </c>
      <c r="AH61" s="64" t="str">
        <f>IF(OR(ISERROR(VLOOKUP($Y$7&amp;$AB61&amp;$Z61,'Stage data'!$A$3:$AE$128,10,FALSE)),ISBLANK(VLOOKUP($Y$7&amp;$AB61&amp;$Z61,'Stage data'!$A$3:$AE$128,10,FALSE))),"",VLOOKUP($Y$7&amp;$AB61&amp;$Z61,'Stage data'!$A$3:$AE$128,10,FALSE))</f>
        <v/>
      </c>
      <c r="AI61" s="64" t="str">
        <f>IF(OR(ISERROR(VLOOKUP($Y$7&amp;$AB61&amp;$Z61,'Stage data'!$A$3:$AE$128,11,FALSE)),ISBLANK(VLOOKUP($Y$7&amp;$AB61&amp;$Z61,'Stage data'!$A$3:$AE$128,11,FALSE))),"",VLOOKUP($Y$7&amp;$AB61&amp;$Z61,'Stage data'!$A$3:$AE$128,11,FALSE))</f>
        <v/>
      </c>
      <c r="AJ61" s="64" t="str">
        <f>IF(OR(ISERROR(VLOOKUP($Y$7&amp;$AB61&amp;$Z61,'Stage data'!$A$3:$AE$128,12,FALSE)),ISBLANK(VLOOKUP($Y$7&amp;$AB61&amp;$Z61,'Stage data'!$A$3:$AE$128,12,FALSE))),"",VLOOKUP($Y$7&amp;$AB61&amp;$Z61,'Stage data'!$A$3:$AE$128,12,FALSE))</f>
        <v/>
      </c>
    </row>
    <row r="62" spans="1:36" x14ac:dyDescent="0.25">
      <c r="Z62" s="62"/>
      <c r="AA62" s="65"/>
      <c r="AB62" s="62"/>
      <c r="AC62" s="64" t="str">
        <f>IF(OR(ISERROR(VLOOKUP($Y$7&amp;$AB62&amp;$Z62,'Stage data'!$A$3:$AE$128,5,FALSE)),ISBLANK(VLOOKUP($Y$7&amp;$AB62&amp;$Z62,'Stage data'!$A$3:$AE$128,5,FALSE))),"",VLOOKUP($Y$7&amp;$AB62&amp;$Z62,'Stage data'!$A$3:$AE$128,5,FALSE))</f>
        <v/>
      </c>
      <c r="AD62" s="64" t="str">
        <f>IF(OR(ISERROR(VLOOKUP($Y$7&amp;$AB62&amp;$Z62,'Stage data'!$A$3:$AE$128,6,FALSE)),ISBLANK(VLOOKUP($Y$7&amp;$AB62&amp;$Z62,'Stage data'!$A$3:$AE$128,6,FALSE))),"",VLOOKUP($Y$7&amp;$AB62&amp;$Z62,'Stage data'!$A$3:$AE$128,6,FALSE))</f>
        <v/>
      </c>
      <c r="AE62" s="64" t="str">
        <f>IF(OR(ISERROR(VLOOKUP($Y$7&amp;$AB62&amp;$Z62,'Stage data'!$A$3:$AE$128,7,FALSE)),ISBLANK(VLOOKUP($Y$7&amp;$AB62&amp;$Z62,'Stage data'!$A$3:$AE$128,7,FALSE))),"",VLOOKUP($Y$7&amp;$AB62&amp;$Z62,'Stage data'!$A$3:$AE$128,7,FALSE))</f>
        <v/>
      </c>
      <c r="AF62" s="64" t="str">
        <f>IF(OR(ISERROR(VLOOKUP($Y$7&amp;$AB62&amp;$Z62,'Stage data'!$A$3:$AE$128,8,FALSE)),ISBLANK(VLOOKUP($Y$7&amp;$AB62&amp;$Z62,'Stage data'!$A$3:$AE$128,8,FALSE))),"",VLOOKUP($Y$7&amp;$AB62&amp;$Z62,'Stage data'!$A$3:$AE$128,8,FALSE))</f>
        <v/>
      </c>
      <c r="AG62" s="64" t="str">
        <f>IF(OR(ISERROR(VLOOKUP($Y$7&amp;$AB62&amp;$Z62,'Stage data'!$A$3:$AE$128,9,FALSE)),ISBLANK(VLOOKUP($Y$7&amp;$AB62&amp;$Z62,'Stage data'!$A$3:$AE$128,9,FALSE))),"",VLOOKUP($Y$7&amp;$AB62&amp;$Z62,'Stage data'!$A$3:$AE$128,9,FALSE))</f>
        <v/>
      </c>
      <c r="AH62" s="64" t="str">
        <f>IF(OR(ISERROR(VLOOKUP($Y$7&amp;$AB62&amp;$Z62,'Stage data'!$A$3:$AE$128,10,FALSE)),ISBLANK(VLOOKUP($Y$7&amp;$AB62&amp;$Z62,'Stage data'!$A$3:$AE$128,10,FALSE))),"",VLOOKUP($Y$7&amp;$AB62&amp;$Z62,'Stage data'!$A$3:$AE$128,10,FALSE))</f>
        <v/>
      </c>
      <c r="AI62" s="64" t="str">
        <f>IF(OR(ISERROR(VLOOKUP($Y$7&amp;$AB62&amp;$Z62,'Stage data'!$A$3:$AE$128,11,FALSE)),ISBLANK(VLOOKUP($Y$7&amp;$AB62&amp;$Z62,'Stage data'!$A$3:$AE$128,11,FALSE))),"",VLOOKUP($Y$7&amp;$AB62&amp;$Z62,'Stage data'!$A$3:$AE$128,11,FALSE))</f>
        <v/>
      </c>
      <c r="AJ62" s="64" t="str">
        <f>IF(OR(ISERROR(VLOOKUP($Y$7&amp;$AB62&amp;$Z62,'Stage data'!$A$3:$AE$128,12,FALSE)),ISBLANK(VLOOKUP($Y$7&amp;$AB62&amp;$Z62,'Stage data'!$A$3:$AE$128,12,FALSE))),"",VLOOKUP($Y$7&amp;$AB62&amp;$Z62,'Stage data'!$A$3:$AE$128,12,FALSE))</f>
        <v/>
      </c>
    </row>
  </sheetData>
  <mergeCells count="49">
    <mergeCell ref="D17:W17"/>
    <mergeCell ref="D18:W18"/>
    <mergeCell ref="D15:W15"/>
    <mergeCell ref="D16:W16"/>
    <mergeCell ref="D8:D13"/>
    <mergeCell ref="V12:V13"/>
    <mergeCell ref="W12:W13"/>
    <mergeCell ref="V10:V11"/>
    <mergeCell ref="W10:W11"/>
    <mergeCell ref="F12:G12"/>
    <mergeCell ref="N12:O12"/>
    <mergeCell ref="L12:M12"/>
    <mergeCell ref="H12:I12"/>
    <mergeCell ref="J12:K12"/>
    <mergeCell ref="P12:Q12"/>
    <mergeCell ref="T12:U12"/>
    <mergeCell ref="R12:S12"/>
    <mergeCell ref="V8:V9"/>
    <mergeCell ref="P8:Q8"/>
    <mergeCell ref="T8:U8"/>
    <mergeCell ref="R8:S8"/>
    <mergeCell ref="P10:Q10"/>
    <mergeCell ref="T10:U10"/>
    <mergeCell ref="R10:S10"/>
    <mergeCell ref="N8:O8"/>
    <mergeCell ref="L8:M8"/>
    <mergeCell ref="F10:G10"/>
    <mergeCell ref="N10:O10"/>
    <mergeCell ref="L10:M10"/>
    <mergeCell ref="H10:I10"/>
    <mergeCell ref="J10:K10"/>
    <mergeCell ref="H8:I8"/>
    <mergeCell ref="J8:K8"/>
    <mergeCell ref="AK2:AX2"/>
    <mergeCell ref="AK33:AX33"/>
    <mergeCell ref="B7:B8"/>
    <mergeCell ref="B2:B4"/>
    <mergeCell ref="D2:W4"/>
    <mergeCell ref="D6:E6"/>
    <mergeCell ref="F6:G6"/>
    <mergeCell ref="N6:O6"/>
    <mergeCell ref="L6:M6"/>
    <mergeCell ref="H6:I6"/>
    <mergeCell ref="J6:K6"/>
    <mergeCell ref="P6:Q6"/>
    <mergeCell ref="T6:U6"/>
    <mergeCell ref="R6:S6"/>
    <mergeCell ref="W8:W9"/>
    <mergeCell ref="F8:G8"/>
  </mergeCells>
  <conditionalFormatting sqref="D8">
    <cfRule type="cellIs" dxfId="83" priority="285" operator="equal">
      <formula>2015</formula>
    </cfRule>
    <cfRule type="cellIs" dxfId="82" priority="286" operator="equal">
      <formula>2014</formula>
    </cfRule>
    <cfRule type="cellIs" dxfId="81" priority="287" operator="equal">
      <formula>2013</formula>
    </cfRule>
    <cfRule type="cellIs" dxfId="80" priority="289" operator="equal">
      <formula>2012</formula>
    </cfRule>
    <cfRule type="cellIs" dxfId="79" priority="290" operator="equal">
      <formula>2011</formula>
    </cfRule>
    <cfRule type="cellIs" dxfId="78" priority="291" operator="equal">
      <formula>2010</formula>
    </cfRule>
    <cfRule type="cellIs" dxfId="77" priority="292" operator="equal">
      <formula>2009</formula>
    </cfRule>
    <cfRule type="cellIs" dxfId="76" priority="293" operator="equal">
      <formula>"2006-2013"</formula>
    </cfRule>
    <cfRule type="cellIs" dxfId="75" priority="294" operator="equal">
      <formula>2007</formula>
    </cfRule>
    <cfRule type="cellIs" dxfId="74" priority="295" operator="equal">
      <formula>2008</formula>
    </cfRule>
    <cfRule type="cellIs" dxfId="73" priority="296" operator="equal">
      <formula>2006</formula>
    </cfRule>
  </conditionalFormatting>
  <conditionalFormatting sqref="F8">
    <cfRule type="colorScale" priority="297">
      <colorScale>
        <cfvo type="min"/>
        <cfvo type="max"/>
        <color rgb="FFFFEF9C"/>
        <color rgb="FFFF7128"/>
      </colorScale>
    </cfRule>
    <cfRule type="containsBlanks" dxfId="72" priority="298">
      <formula>LEN(TRIM(F8))=0</formula>
    </cfRule>
  </conditionalFormatting>
  <conditionalFormatting sqref="F8:G8">
    <cfRule type="colorScale" priority="284">
      <colorScale>
        <cfvo type="min"/>
        <cfvo type="max"/>
        <color rgb="FFFFEF9C"/>
        <color rgb="FFFF7128"/>
      </colorScale>
    </cfRule>
  </conditionalFormatting>
  <conditionalFormatting sqref="F8:G8">
    <cfRule type="colorScale" priority="283">
      <colorScale>
        <cfvo type="min"/>
        <cfvo type="max"/>
        <color rgb="FFFFEF9C"/>
        <color rgb="FFFF7128"/>
      </colorScale>
    </cfRule>
  </conditionalFormatting>
  <conditionalFormatting sqref="N8">
    <cfRule type="colorScale" priority="281">
      <colorScale>
        <cfvo type="min"/>
        <cfvo type="max"/>
        <color rgb="FFFFEF9C"/>
        <color rgb="FFFF7128"/>
      </colorScale>
    </cfRule>
    <cfRule type="containsBlanks" dxfId="71" priority="282">
      <formula>LEN(TRIM(N8))=0</formula>
    </cfRule>
  </conditionalFormatting>
  <conditionalFormatting sqref="N8:O8">
    <cfRule type="colorScale" priority="280">
      <colorScale>
        <cfvo type="min"/>
        <cfvo type="max"/>
        <color rgb="FFFFEF9C"/>
        <color rgb="FFFF7128"/>
      </colorScale>
    </cfRule>
  </conditionalFormatting>
  <conditionalFormatting sqref="N8:O8">
    <cfRule type="colorScale" priority="279">
      <colorScale>
        <cfvo type="min"/>
        <cfvo type="max"/>
        <color rgb="FFFFEF9C"/>
        <color rgb="FFFF7128"/>
      </colorScale>
    </cfRule>
  </conditionalFormatting>
  <conditionalFormatting sqref="L8">
    <cfRule type="colorScale" priority="277">
      <colorScale>
        <cfvo type="min"/>
        <cfvo type="max"/>
        <color rgb="FFFFEF9C"/>
        <color rgb="FFFF7128"/>
      </colorScale>
    </cfRule>
    <cfRule type="containsBlanks" dxfId="70" priority="278">
      <formula>LEN(TRIM(L8))=0</formula>
    </cfRule>
  </conditionalFormatting>
  <conditionalFormatting sqref="L8:M8">
    <cfRule type="colorScale" priority="276">
      <colorScale>
        <cfvo type="min"/>
        <cfvo type="max"/>
        <color rgb="FFFFEF9C"/>
        <color rgb="FFFF7128"/>
      </colorScale>
    </cfRule>
  </conditionalFormatting>
  <conditionalFormatting sqref="L8:M8">
    <cfRule type="colorScale" priority="275">
      <colorScale>
        <cfvo type="min"/>
        <cfvo type="max"/>
        <color rgb="FFFFEF9C"/>
        <color rgb="FFFF7128"/>
      </colorScale>
    </cfRule>
  </conditionalFormatting>
  <conditionalFormatting sqref="H8">
    <cfRule type="colorScale" priority="273">
      <colorScale>
        <cfvo type="min"/>
        <cfvo type="max"/>
        <color rgb="FFFFEF9C"/>
        <color rgb="FFFF7128"/>
      </colorScale>
    </cfRule>
    <cfRule type="containsBlanks" dxfId="69" priority="274">
      <formula>LEN(TRIM(H8))=0</formula>
    </cfRule>
  </conditionalFormatting>
  <conditionalFormatting sqref="H8:I8">
    <cfRule type="colorScale" priority="272">
      <colorScale>
        <cfvo type="min"/>
        <cfvo type="max"/>
        <color rgb="FFFFEF9C"/>
        <color rgb="FFFF7128"/>
      </colorScale>
    </cfRule>
  </conditionalFormatting>
  <conditionalFormatting sqref="H8:I8">
    <cfRule type="colorScale" priority="271">
      <colorScale>
        <cfvo type="min"/>
        <cfvo type="max"/>
        <color rgb="FFFFEF9C"/>
        <color rgb="FFFF7128"/>
      </colorScale>
    </cfRule>
  </conditionalFormatting>
  <conditionalFormatting sqref="J8">
    <cfRule type="colorScale" priority="269">
      <colorScale>
        <cfvo type="min"/>
        <cfvo type="max"/>
        <color rgb="FFFFEF9C"/>
        <color rgb="FFFF7128"/>
      </colorScale>
    </cfRule>
    <cfRule type="containsBlanks" dxfId="68" priority="270">
      <formula>LEN(TRIM(J8))=0</formula>
    </cfRule>
  </conditionalFormatting>
  <conditionalFormatting sqref="J8:K8">
    <cfRule type="colorScale" priority="268">
      <colorScale>
        <cfvo type="min"/>
        <cfvo type="max"/>
        <color rgb="FFFFEF9C"/>
        <color rgb="FFFF7128"/>
      </colorScale>
    </cfRule>
  </conditionalFormatting>
  <conditionalFormatting sqref="J8:K8">
    <cfRule type="colorScale" priority="267">
      <colorScale>
        <cfvo type="min"/>
        <cfvo type="max"/>
        <color rgb="FFFFEF9C"/>
        <color rgb="FFFF7128"/>
      </colorScale>
    </cfRule>
  </conditionalFormatting>
  <conditionalFormatting sqref="P8">
    <cfRule type="colorScale" priority="265">
      <colorScale>
        <cfvo type="min"/>
        <cfvo type="max"/>
        <color rgb="FFFFEF9C"/>
        <color rgb="FFFF7128"/>
      </colorScale>
    </cfRule>
    <cfRule type="containsBlanks" dxfId="67" priority="266">
      <formula>LEN(TRIM(P8))=0</formula>
    </cfRule>
  </conditionalFormatting>
  <conditionalFormatting sqref="P8:Q8">
    <cfRule type="colorScale" priority="264">
      <colorScale>
        <cfvo type="min"/>
        <cfvo type="max"/>
        <color rgb="FFFFEF9C"/>
        <color rgb="FFFF7128"/>
      </colorScale>
    </cfRule>
  </conditionalFormatting>
  <conditionalFormatting sqref="P8:Q8">
    <cfRule type="colorScale" priority="263">
      <colorScale>
        <cfvo type="min"/>
        <cfvo type="max"/>
        <color rgb="FFFFEF9C"/>
        <color rgb="FFFF7128"/>
      </colorScale>
    </cfRule>
  </conditionalFormatting>
  <conditionalFormatting sqref="T8">
    <cfRule type="colorScale" priority="261">
      <colorScale>
        <cfvo type="min"/>
        <cfvo type="max"/>
        <color rgb="FFFFEF9C"/>
        <color rgb="FFFF7128"/>
      </colorScale>
    </cfRule>
    <cfRule type="containsBlanks" dxfId="66" priority="262">
      <formula>LEN(TRIM(T8))=0</formula>
    </cfRule>
  </conditionalFormatting>
  <conditionalFormatting sqref="T8:U8">
    <cfRule type="colorScale" priority="260">
      <colorScale>
        <cfvo type="min"/>
        <cfvo type="max"/>
        <color rgb="FFFFEF9C"/>
        <color rgb="FFFF7128"/>
      </colorScale>
    </cfRule>
  </conditionalFormatting>
  <conditionalFormatting sqref="T8:U8">
    <cfRule type="colorScale" priority="259">
      <colorScale>
        <cfvo type="min"/>
        <cfvo type="max"/>
        <color rgb="FFFFEF9C"/>
        <color rgb="FFFF7128"/>
      </colorScale>
    </cfRule>
  </conditionalFormatting>
  <conditionalFormatting sqref="R8">
    <cfRule type="colorScale" priority="257">
      <colorScale>
        <cfvo type="min"/>
        <cfvo type="max"/>
        <color rgb="FFFFEF9C"/>
        <color rgb="FFFF7128"/>
      </colorScale>
    </cfRule>
    <cfRule type="containsBlanks" dxfId="65" priority="258">
      <formula>LEN(TRIM(R8))=0</formula>
    </cfRule>
  </conditionalFormatting>
  <conditionalFormatting sqref="R8:S8">
    <cfRule type="colorScale" priority="256">
      <colorScale>
        <cfvo type="min"/>
        <cfvo type="max"/>
        <color rgb="FFFFEF9C"/>
        <color rgb="FFFF7128"/>
      </colorScale>
    </cfRule>
  </conditionalFormatting>
  <conditionalFormatting sqref="R8:S8">
    <cfRule type="colorScale" priority="255">
      <colorScale>
        <cfvo type="min"/>
        <cfvo type="max"/>
        <color rgb="FFFFEF9C"/>
        <color rgb="FFFF7128"/>
      </colorScale>
    </cfRule>
  </conditionalFormatting>
  <conditionalFormatting sqref="D2:W4">
    <cfRule type="cellIs" dxfId="64" priority="74" operator="equal">
      <formula>"Prostate is not covered by a screening programme, please select a different site or route"</formula>
    </cfRule>
    <cfRule type="cellIs" dxfId="63" priority="75" operator="equal">
      <formula>"SCLC is not covered by a screening programme, please select a different site or route"</formula>
    </cfRule>
    <cfRule type="cellIs" dxfId="62" priority="76" operator="equal">
      <formula>"NSCLC is not covered by a screening programme, please select a different site or route"</formula>
    </cfRule>
  </conditionalFormatting>
  <conditionalFormatting sqref="F8:U8">
    <cfRule type="colorScale" priority="73">
      <colorScale>
        <cfvo type="min"/>
        <cfvo type="max"/>
        <color rgb="FFFFEF9C"/>
        <color rgb="FFFF7128"/>
      </colorScale>
    </cfRule>
    <cfRule type="colorScale" priority="982">
      <colorScale>
        <cfvo type="min"/>
        <cfvo type="max"/>
        <color rgb="FFFFEF9C"/>
        <color rgb="FFFF7128"/>
      </colorScale>
    </cfRule>
    <cfRule type="colorScale" priority="983">
      <colorScale>
        <cfvo type="min"/>
        <cfvo type="max"/>
        <color rgb="FFFF7128"/>
        <color rgb="FFFFEF9C"/>
      </colorScale>
    </cfRule>
    <cfRule type="colorScale" priority="984">
      <colorScale>
        <cfvo type="min"/>
        <cfvo type="max"/>
        <color rgb="FFFFEF9C"/>
        <color rgb="FFFF7128"/>
      </colorScale>
    </cfRule>
  </conditionalFormatting>
  <conditionalFormatting sqref="F10">
    <cfRule type="colorScale" priority="68">
      <colorScale>
        <cfvo type="min"/>
        <cfvo type="max"/>
        <color rgb="FFFFEF9C"/>
        <color rgb="FFFF7128"/>
      </colorScale>
    </cfRule>
    <cfRule type="containsBlanks" dxfId="61" priority="69">
      <formula>LEN(TRIM(F10))=0</formula>
    </cfRule>
  </conditionalFormatting>
  <conditionalFormatting sqref="F10:G10">
    <cfRule type="colorScale" priority="67">
      <colorScale>
        <cfvo type="min"/>
        <cfvo type="max"/>
        <color rgb="FFFFEF9C"/>
        <color rgb="FFFF7128"/>
      </colorScale>
    </cfRule>
  </conditionalFormatting>
  <conditionalFormatting sqref="F10:G10">
    <cfRule type="colorScale" priority="66">
      <colorScale>
        <cfvo type="min"/>
        <cfvo type="max"/>
        <color rgb="FFFFEF9C"/>
        <color rgb="FFFF7128"/>
      </colorScale>
    </cfRule>
  </conditionalFormatting>
  <conditionalFormatting sqref="N10">
    <cfRule type="colorScale" priority="64">
      <colorScale>
        <cfvo type="min"/>
        <cfvo type="max"/>
        <color rgb="FFFFEF9C"/>
        <color rgb="FFFF7128"/>
      </colorScale>
    </cfRule>
    <cfRule type="containsBlanks" dxfId="60" priority="65">
      <formula>LEN(TRIM(N10))=0</formula>
    </cfRule>
  </conditionalFormatting>
  <conditionalFormatting sqref="N10:O10">
    <cfRule type="colorScale" priority="63">
      <colorScale>
        <cfvo type="min"/>
        <cfvo type="max"/>
        <color rgb="FFFFEF9C"/>
        <color rgb="FFFF7128"/>
      </colorScale>
    </cfRule>
  </conditionalFormatting>
  <conditionalFormatting sqref="N10:O10">
    <cfRule type="colorScale" priority="62">
      <colorScale>
        <cfvo type="min"/>
        <cfvo type="max"/>
        <color rgb="FFFFEF9C"/>
        <color rgb="FFFF7128"/>
      </colorScale>
    </cfRule>
  </conditionalFormatting>
  <conditionalFormatting sqref="L10">
    <cfRule type="colorScale" priority="60">
      <colorScale>
        <cfvo type="min"/>
        <cfvo type="max"/>
        <color rgb="FFFFEF9C"/>
        <color rgb="FFFF7128"/>
      </colorScale>
    </cfRule>
    <cfRule type="containsBlanks" dxfId="59" priority="61">
      <formula>LEN(TRIM(L10))=0</formula>
    </cfRule>
  </conditionalFormatting>
  <conditionalFormatting sqref="L10:M10">
    <cfRule type="colorScale" priority="59">
      <colorScale>
        <cfvo type="min"/>
        <cfvo type="max"/>
        <color rgb="FFFFEF9C"/>
        <color rgb="FFFF7128"/>
      </colorScale>
    </cfRule>
  </conditionalFormatting>
  <conditionalFormatting sqref="L10:M10">
    <cfRule type="colorScale" priority="58">
      <colorScale>
        <cfvo type="min"/>
        <cfvo type="max"/>
        <color rgb="FFFFEF9C"/>
        <color rgb="FFFF7128"/>
      </colorScale>
    </cfRule>
  </conditionalFormatting>
  <conditionalFormatting sqref="H10">
    <cfRule type="colorScale" priority="56">
      <colorScale>
        <cfvo type="min"/>
        <cfvo type="max"/>
        <color rgb="FFFFEF9C"/>
        <color rgb="FFFF7128"/>
      </colorScale>
    </cfRule>
    <cfRule type="containsBlanks" dxfId="58" priority="57">
      <formula>LEN(TRIM(H10))=0</formula>
    </cfRule>
  </conditionalFormatting>
  <conditionalFormatting sqref="H10:I10">
    <cfRule type="colorScale" priority="55">
      <colorScale>
        <cfvo type="min"/>
        <cfvo type="max"/>
        <color rgb="FFFFEF9C"/>
        <color rgb="FFFF7128"/>
      </colorScale>
    </cfRule>
  </conditionalFormatting>
  <conditionalFormatting sqref="H10:I10">
    <cfRule type="colorScale" priority="54">
      <colorScale>
        <cfvo type="min"/>
        <cfvo type="max"/>
        <color rgb="FFFFEF9C"/>
        <color rgb="FFFF7128"/>
      </colorScale>
    </cfRule>
  </conditionalFormatting>
  <conditionalFormatting sqref="J10">
    <cfRule type="colorScale" priority="52">
      <colorScale>
        <cfvo type="min"/>
        <cfvo type="max"/>
        <color rgb="FFFFEF9C"/>
        <color rgb="FFFF7128"/>
      </colorScale>
    </cfRule>
    <cfRule type="containsBlanks" dxfId="57" priority="53">
      <formula>LEN(TRIM(J10))=0</formula>
    </cfRule>
  </conditionalFormatting>
  <conditionalFormatting sqref="J10:K10">
    <cfRule type="colorScale" priority="51">
      <colorScale>
        <cfvo type="min"/>
        <cfvo type="max"/>
        <color rgb="FFFFEF9C"/>
        <color rgb="FFFF7128"/>
      </colorScale>
    </cfRule>
  </conditionalFormatting>
  <conditionalFormatting sqref="J10:K10">
    <cfRule type="colorScale" priority="50">
      <colorScale>
        <cfvo type="min"/>
        <cfvo type="max"/>
        <color rgb="FFFFEF9C"/>
        <color rgb="FFFF7128"/>
      </colorScale>
    </cfRule>
  </conditionalFormatting>
  <conditionalFormatting sqref="P10">
    <cfRule type="colorScale" priority="48">
      <colorScale>
        <cfvo type="min"/>
        <cfvo type="max"/>
        <color rgb="FFFFEF9C"/>
        <color rgb="FFFF7128"/>
      </colorScale>
    </cfRule>
    <cfRule type="containsBlanks" dxfId="56" priority="49">
      <formula>LEN(TRIM(P10))=0</formula>
    </cfRule>
  </conditionalFormatting>
  <conditionalFormatting sqref="P10:Q10">
    <cfRule type="colorScale" priority="47">
      <colorScale>
        <cfvo type="min"/>
        <cfvo type="max"/>
        <color rgb="FFFFEF9C"/>
        <color rgb="FFFF7128"/>
      </colorScale>
    </cfRule>
  </conditionalFormatting>
  <conditionalFormatting sqref="P10:Q10">
    <cfRule type="colorScale" priority="46">
      <colorScale>
        <cfvo type="min"/>
        <cfvo type="max"/>
        <color rgb="FFFFEF9C"/>
        <color rgb="FFFF7128"/>
      </colorScale>
    </cfRule>
  </conditionalFormatting>
  <conditionalFormatting sqref="T10">
    <cfRule type="colorScale" priority="44">
      <colorScale>
        <cfvo type="min"/>
        <cfvo type="max"/>
        <color rgb="FFFFEF9C"/>
        <color rgb="FFFF7128"/>
      </colorScale>
    </cfRule>
    <cfRule type="containsBlanks" dxfId="55" priority="45">
      <formula>LEN(TRIM(T10))=0</formula>
    </cfRule>
  </conditionalFormatting>
  <conditionalFormatting sqref="T10:U10">
    <cfRule type="colorScale" priority="43">
      <colorScale>
        <cfvo type="min"/>
        <cfvo type="max"/>
        <color rgb="FFFFEF9C"/>
        <color rgb="FFFF7128"/>
      </colorScale>
    </cfRule>
  </conditionalFormatting>
  <conditionalFormatting sqref="T10:U10">
    <cfRule type="colorScale" priority="42">
      <colorScale>
        <cfvo type="min"/>
        <cfvo type="max"/>
        <color rgb="FFFFEF9C"/>
        <color rgb="FFFF7128"/>
      </colorScale>
    </cfRule>
  </conditionalFormatting>
  <conditionalFormatting sqref="R10">
    <cfRule type="colorScale" priority="40">
      <colorScale>
        <cfvo type="min"/>
        <cfvo type="max"/>
        <color rgb="FFFFEF9C"/>
        <color rgb="FFFF7128"/>
      </colorScale>
    </cfRule>
    <cfRule type="containsBlanks" dxfId="54" priority="41">
      <formula>LEN(TRIM(R10))=0</formula>
    </cfRule>
  </conditionalFormatting>
  <conditionalFormatting sqref="R10:S10">
    <cfRule type="colorScale" priority="39">
      <colorScale>
        <cfvo type="min"/>
        <cfvo type="max"/>
        <color rgb="FFFFEF9C"/>
        <color rgb="FFFF7128"/>
      </colorScale>
    </cfRule>
  </conditionalFormatting>
  <conditionalFormatting sqref="R10:S10">
    <cfRule type="colorScale" priority="38">
      <colorScale>
        <cfvo type="min"/>
        <cfvo type="max"/>
        <color rgb="FFFFEF9C"/>
        <color rgb="FFFF7128"/>
      </colorScale>
    </cfRule>
  </conditionalFormatting>
  <conditionalFormatting sqref="F10:U10">
    <cfRule type="colorScale" priority="37">
      <colorScale>
        <cfvo type="min"/>
        <cfvo type="max"/>
        <color rgb="FFFFEF9C"/>
        <color rgb="FFFF7128"/>
      </colorScale>
    </cfRule>
    <cfRule type="colorScale" priority="70">
      <colorScale>
        <cfvo type="min"/>
        <cfvo type="max"/>
        <color rgb="FFFFEF9C"/>
        <color rgb="FFFF7128"/>
      </colorScale>
    </cfRule>
    <cfRule type="colorScale" priority="71">
      <colorScale>
        <cfvo type="min"/>
        <cfvo type="max"/>
        <color rgb="FFFF7128"/>
        <color rgb="FFFFEF9C"/>
      </colorScale>
    </cfRule>
    <cfRule type="colorScale" priority="72">
      <colorScale>
        <cfvo type="min"/>
        <cfvo type="max"/>
        <color rgb="FFFFEF9C"/>
        <color rgb="FFFF7128"/>
      </colorScale>
    </cfRule>
  </conditionalFormatting>
  <conditionalFormatting sqref="F12">
    <cfRule type="colorScale" priority="32">
      <colorScale>
        <cfvo type="min"/>
        <cfvo type="max"/>
        <color rgb="FFFFEF9C"/>
        <color rgb="FFFF7128"/>
      </colorScale>
    </cfRule>
    <cfRule type="containsBlanks" dxfId="53" priority="33">
      <formula>LEN(TRIM(F12))=0</formula>
    </cfRule>
  </conditionalFormatting>
  <conditionalFormatting sqref="F12:G12">
    <cfRule type="colorScale" priority="31">
      <colorScale>
        <cfvo type="min"/>
        <cfvo type="max"/>
        <color rgb="FFFFEF9C"/>
        <color rgb="FFFF7128"/>
      </colorScale>
    </cfRule>
  </conditionalFormatting>
  <conditionalFormatting sqref="F12:G12">
    <cfRule type="colorScale" priority="30">
      <colorScale>
        <cfvo type="min"/>
        <cfvo type="max"/>
        <color rgb="FFFFEF9C"/>
        <color rgb="FFFF7128"/>
      </colorScale>
    </cfRule>
  </conditionalFormatting>
  <conditionalFormatting sqref="N12">
    <cfRule type="colorScale" priority="28">
      <colorScale>
        <cfvo type="min"/>
        <cfvo type="max"/>
        <color rgb="FFFFEF9C"/>
        <color rgb="FFFF7128"/>
      </colorScale>
    </cfRule>
    <cfRule type="containsBlanks" dxfId="52" priority="29">
      <formula>LEN(TRIM(N12))=0</formula>
    </cfRule>
  </conditionalFormatting>
  <conditionalFormatting sqref="N12:O12">
    <cfRule type="colorScale" priority="27">
      <colorScale>
        <cfvo type="min"/>
        <cfvo type="max"/>
        <color rgb="FFFFEF9C"/>
        <color rgb="FFFF7128"/>
      </colorScale>
    </cfRule>
  </conditionalFormatting>
  <conditionalFormatting sqref="N12:O12">
    <cfRule type="colorScale" priority="26">
      <colorScale>
        <cfvo type="min"/>
        <cfvo type="max"/>
        <color rgb="FFFFEF9C"/>
        <color rgb="FFFF7128"/>
      </colorScale>
    </cfRule>
  </conditionalFormatting>
  <conditionalFormatting sqref="L12">
    <cfRule type="colorScale" priority="24">
      <colorScale>
        <cfvo type="min"/>
        <cfvo type="max"/>
        <color rgb="FFFFEF9C"/>
        <color rgb="FFFF7128"/>
      </colorScale>
    </cfRule>
    <cfRule type="containsBlanks" dxfId="51" priority="25">
      <formula>LEN(TRIM(L12))=0</formula>
    </cfRule>
  </conditionalFormatting>
  <conditionalFormatting sqref="L12:M12">
    <cfRule type="colorScale" priority="23">
      <colorScale>
        <cfvo type="min"/>
        <cfvo type="max"/>
        <color rgb="FFFFEF9C"/>
        <color rgb="FFFF7128"/>
      </colorScale>
    </cfRule>
  </conditionalFormatting>
  <conditionalFormatting sqref="L12:M12">
    <cfRule type="colorScale" priority="22">
      <colorScale>
        <cfvo type="min"/>
        <cfvo type="max"/>
        <color rgb="FFFFEF9C"/>
        <color rgb="FFFF7128"/>
      </colorScale>
    </cfRule>
  </conditionalFormatting>
  <conditionalFormatting sqref="H12">
    <cfRule type="colorScale" priority="20">
      <colorScale>
        <cfvo type="min"/>
        <cfvo type="max"/>
        <color rgb="FFFFEF9C"/>
        <color rgb="FFFF7128"/>
      </colorScale>
    </cfRule>
    <cfRule type="containsBlanks" dxfId="50" priority="21">
      <formula>LEN(TRIM(H12))=0</formula>
    </cfRule>
  </conditionalFormatting>
  <conditionalFormatting sqref="H12:I12">
    <cfRule type="colorScale" priority="19">
      <colorScale>
        <cfvo type="min"/>
        <cfvo type="max"/>
        <color rgb="FFFFEF9C"/>
        <color rgb="FFFF7128"/>
      </colorScale>
    </cfRule>
  </conditionalFormatting>
  <conditionalFormatting sqref="H12:I12">
    <cfRule type="colorScale" priority="18">
      <colorScale>
        <cfvo type="min"/>
        <cfvo type="max"/>
        <color rgb="FFFFEF9C"/>
        <color rgb="FFFF7128"/>
      </colorScale>
    </cfRule>
  </conditionalFormatting>
  <conditionalFormatting sqref="J12">
    <cfRule type="colorScale" priority="16">
      <colorScale>
        <cfvo type="min"/>
        <cfvo type="max"/>
        <color rgb="FFFFEF9C"/>
        <color rgb="FFFF7128"/>
      </colorScale>
    </cfRule>
    <cfRule type="containsBlanks" dxfId="49" priority="17">
      <formula>LEN(TRIM(J12))=0</formula>
    </cfRule>
  </conditionalFormatting>
  <conditionalFormatting sqref="J12:K12">
    <cfRule type="colorScale" priority="15">
      <colorScale>
        <cfvo type="min"/>
        <cfvo type="max"/>
        <color rgb="FFFFEF9C"/>
        <color rgb="FFFF7128"/>
      </colorScale>
    </cfRule>
  </conditionalFormatting>
  <conditionalFormatting sqref="J12:K12">
    <cfRule type="colorScale" priority="14">
      <colorScale>
        <cfvo type="min"/>
        <cfvo type="max"/>
        <color rgb="FFFFEF9C"/>
        <color rgb="FFFF7128"/>
      </colorScale>
    </cfRule>
  </conditionalFormatting>
  <conditionalFormatting sqref="P12">
    <cfRule type="colorScale" priority="12">
      <colorScale>
        <cfvo type="min"/>
        <cfvo type="max"/>
        <color rgb="FFFFEF9C"/>
        <color rgb="FFFF7128"/>
      </colorScale>
    </cfRule>
    <cfRule type="containsBlanks" dxfId="48" priority="13">
      <formula>LEN(TRIM(P12))=0</formula>
    </cfRule>
  </conditionalFormatting>
  <conditionalFormatting sqref="P12:Q12">
    <cfRule type="colorScale" priority="11">
      <colorScale>
        <cfvo type="min"/>
        <cfvo type="max"/>
        <color rgb="FFFFEF9C"/>
        <color rgb="FFFF7128"/>
      </colorScale>
    </cfRule>
  </conditionalFormatting>
  <conditionalFormatting sqref="P12:Q12">
    <cfRule type="colorScale" priority="10">
      <colorScale>
        <cfvo type="min"/>
        <cfvo type="max"/>
        <color rgb="FFFFEF9C"/>
        <color rgb="FFFF7128"/>
      </colorScale>
    </cfRule>
  </conditionalFormatting>
  <conditionalFormatting sqref="T12">
    <cfRule type="colorScale" priority="8">
      <colorScale>
        <cfvo type="min"/>
        <cfvo type="max"/>
        <color rgb="FFFFEF9C"/>
        <color rgb="FFFF7128"/>
      </colorScale>
    </cfRule>
    <cfRule type="containsBlanks" dxfId="47" priority="9">
      <formula>LEN(TRIM(T12))=0</formula>
    </cfRule>
  </conditionalFormatting>
  <conditionalFormatting sqref="T12:U12">
    <cfRule type="colorScale" priority="7">
      <colorScale>
        <cfvo type="min"/>
        <cfvo type="max"/>
        <color rgb="FFFFEF9C"/>
        <color rgb="FFFF7128"/>
      </colorScale>
    </cfRule>
  </conditionalFormatting>
  <conditionalFormatting sqref="T12:U12">
    <cfRule type="colorScale" priority="6">
      <colorScale>
        <cfvo type="min"/>
        <cfvo type="max"/>
        <color rgb="FFFFEF9C"/>
        <color rgb="FFFF7128"/>
      </colorScale>
    </cfRule>
  </conditionalFormatting>
  <conditionalFormatting sqref="R12">
    <cfRule type="colorScale" priority="4">
      <colorScale>
        <cfvo type="min"/>
        <cfvo type="max"/>
        <color rgb="FFFFEF9C"/>
        <color rgb="FFFF7128"/>
      </colorScale>
    </cfRule>
    <cfRule type="containsBlanks" dxfId="46" priority="5">
      <formula>LEN(TRIM(R12))=0</formula>
    </cfRule>
  </conditionalFormatting>
  <conditionalFormatting sqref="R12:S12">
    <cfRule type="colorScale" priority="3">
      <colorScale>
        <cfvo type="min"/>
        <cfvo type="max"/>
        <color rgb="FFFFEF9C"/>
        <color rgb="FFFF7128"/>
      </colorScale>
    </cfRule>
  </conditionalFormatting>
  <conditionalFormatting sqref="R12:S12">
    <cfRule type="colorScale" priority="2">
      <colorScale>
        <cfvo type="min"/>
        <cfvo type="max"/>
        <color rgb="FFFFEF9C"/>
        <color rgb="FFFF7128"/>
      </colorScale>
    </cfRule>
  </conditionalFormatting>
  <conditionalFormatting sqref="F12:U12">
    <cfRule type="colorScale" priority="1">
      <colorScale>
        <cfvo type="min"/>
        <cfvo type="max"/>
        <color rgb="FFFFEF9C"/>
        <color rgb="FFFF7128"/>
      </colorScale>
    </cfRule>
    <cfRule type="colorScale" priority="34">
      <colorScale>
        <cfvo type="min"/>
        <cfvo type="max"/>
        <color rgb="FFFFEF9C"/>
        <color rgb="FFFF7128"/>
      </colorScale>
    </cfRule>
    <cfRule type="colorScale" priority="35">
      <colorScale>
        <cfvo type="min"/>
        <cfvo type="max"/>
        <color rgb="FFFF7128"/>
        <color rgb="FFFFEF9C"/>
      </colorScale>
    </cfRule>
    <cfRule type="colorScale" priority="36">
      <colorScale>
        <cfvo type="min"/>
        <cfvo type="max"/>
        <color rgb="FFFFEF9C"/>
        <color rgb="FFFF7128"/>
      </colorScale>
    </cfRule>
  </conditionalFormatting>
  <hyperlinks>
    <hyperlink ref="B16" location="Contents!A1" display="Contents"/>
  </hyperlinks>
  <pageMargins left="0.7" right="0.7" top="0.75" bottom="0.75" header="0.3" footer="0.3"/>
  <pageSetup paperSize="9" orientation="portrait" r:id="rId1"/>
  <ignoredErrors>
    <ignoredError sqref="F9:G13 P9:Q13 H9:O13 R9:U1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217" r:id="rId4" name="List Box 1">
              <controlPr defaultSize="0" autoLine="0" autoPict="0">
                <anchor moveWithCells="1">
                  <from>
                    <xdr:col>1</xdr:col>
                    <xdr:colOff>9525</xdr:colOff>
                    <xdr:row>5</xdr:row>
                    <xdr:rowOff>9525</xdr:rowOff>
                  </from>
                  <to>
                    <xdr:col>2</xdr:col>
                    <xdr:colOff>19050</xdr:colOff>
                    <xdr:row>5</xdr:row>
                    <xdr:rowOff>838200</xdr:rowOff>
                  </to>
                </anchor>
              </controlPr>
            </control>
          </mc:Choice>
        </mc:AlternateContent>
        <mc:AlternateContent xmlns:mc="http://schemas.openxmlformats.org/markup-compatibility/2006">
          <mc:Choice Requires="x14">
            <control shapeId="9218" r:id="rId5" name="List Box 2">
              <controlPr defaultSize="0" autoLine="0" autoPict="0">
                <anchor moveWithCells="1">
                  <from>
                    <xdr:col>1</xdr:col>
                    <xdr:colOff>9525</xdr:colOff>
                    <xdr:row>8</xdr:row>
                    <xdr:rowOff>95250</xdr:rowOff>
                  </from>
                  <to>
                    <xdr:col>1</xdr:col>
                    <xdr:colOff>1333500</xdr:colOff>
                    <xdr:row>13</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9E49"/>
  </sheetPr>
  <dimension ref="A1:AX76"/>
  <sheetViews>
    <sheetView workbookViewId="0">
      <selection activeCell="B2" sqref="B2:B4"/>
    </sheetView>
  </sheetViews>
  <sheetFormatPr defaultRowHeight="15" x14ac:dyDescent="0.25"/>
  <cols>
    <col min="1" max="1" width="1.42578125" style="3" customWidth="1"/>
    <col min="2" max="2" width="20" style="3" customWidth="1"/>
    <col min="3" max="3" width="1.42578125" style="3" customWidth="1"/>
    <col min="4" max="4" width="9.140625" style="3"/>
    <col min="5" max="5" width="15.28515625" style="3" customWidth="1"/>
    <col min="6" max="21" width="4.5703125" style="3" customWidth="1"/>
    <col min="22" max="22" width="0" style="3" hidden="1" customWidth="1"/>
    <col min="23" max="24" width="9.140625" style="3"/>
    <col min="25" max="36" width="0.140625" style="3" customWidth="1"/>
    <col min="37" max="16384" width="9.140625" style="3"/>
  </cols>
  <sheetData>
    <row r="1" spans="1:50" ht="15.75" thickBot="1" x14ac:dyDescent="0.3">
      <c r="D1" s="4"/>
      <c r="V1" s="5"/>
      <c r="W1" s="5"/>
    </row>
    <row r="2" spans="1:50" ht="15" customHeight="1" thickBot="1" x14ac:dyDescent="0.3">
      <c r="B2" s="88" t="s">
        <v>94</v>
      </c>
      <c r="D2" s="116" t="str">
        <f>IF(F8="", D6&amp;" is not covered by a screening programme, please select a different site or Route", "Percentage of diagnoses by selected Route and treatment modality - by Charlson comorbidity score, 2013-2015, England")</f>
        <v>Percentage of diagnoses by selected Route and treatment modality - by Charlson comorbidity score, 2013-2015, England</v>
      </c>
      <c r="E2" s="117"/>
      <c r="F2" s="117"/>
      <c r="G2" s="117"/>
      <c r="H2" s="117"/>
      <c r="I2" s="117"/>
      <c r="J2" s="117"/>
      <c r="K2" s="117"/>
      <c r="L2" s="117"/>
      <c r="M2" s="117"/>
      <c r="N2" s="117"/>
      <c r="O2" s="117"/>
      <c r="P2" s="117"/>
      <c r="Q2" s="117"/>
      <c r="R2" s="117"/>
      <c r="S2" s="117"/>
      <c r="T2" s="117"/>
      <c r="U2" s="117"/>
      <c r="V2" s="117"/>
      <c r="W2" s="118"/>
      <c r="AK2" s="111" t="s">
        <v>128</v>
      </c>
      <c r="AL2" s="112"/>
      <c r="AM2" s="112"/>
      <c r="AN2" s="112"/>
      <c r="AO2" s="112"/>
      <c r="AP2" s="112"/>
      <c r="AQ2" s="112"/>
      <c r="AR2" s="112"/>
      <c r="AS2" s="112"/>
      <c r="AT2" s="112"/>
      <c r="AU2" s="112"/>
      <c r="AV2" s="112"/>
      <c r="AW2" s="112"/>
      <c r="AX2" s="113"/>
    </row>
    <row r="3" spans="1:50" ht="15" customHeight="1" x14ac:dyDescent="0.25">
      <c r="B3" s="89"/>
      <c r="D3" s="119"/>
      <c r="E3" s="120"/>
      <c r="F3" s="120"/>
      <c r="G3" s="120"/>
      <c r="H3" s="120"/>
      <c r="I3" s="120"/>
      <c r="J3" s="120"/>
      <c r="K3" s="120"/>
      <c r="L3" s="120"/>
      <c r="M3" s="120"/>
      <c r="N3" s="120"/>
      <c r="O3" s="120"/>
      <c r="P3" s="120"/>
      <c r="Q3" s="120"/>
      <c r="R3" s="120"/>
      <c r="S3" s="120"/>
      <c r="T3" s="120"/>
      <c r="U3" s="120"/>
      <c r="V3" s="120"/>
      <c r="W3" s="121"/>
    </row>
    <row r="4" spans="1:50" ht="15.75" customHeight="1" thickBot="1" x14ac:dyDescent="0.3">
      <c r="B4" s="90"/>
      <c r="D4" s="122"/>
      <c r="E4" s="123"/>
      <c r="F4" s="123"/>
      <c r="G4" s="123"/>
      <c r="H4" s="123"/>
      <c r="I4" s="123"/>
      <c r="J4" s="123"/>
      <c r="K4" s="123"/>
      <c r="L4" s="123"/>
      <c r="M4" s="123"/>
      <c r="N4" s="123"/>
      <c r="O4" s="123"/>
      <c r="P4" s="123"/>
      <c r="Q4" s="123"/>
      <c r="R4" s="123"/>
      <c r="S4" s="123"/>
      <c r="T4" s="123"/>
      <c r="U4" s="123"/>
      <c r="V4" s="123"/>
      <c r="W4" s="124"/>
    </row>
    <row r="5" spans="1:50" ht="15.75" thickBot="1" x14ac:dyDescent="0.3">
      <c r="D5" s="4"/>
      <c r="V5" s="5"/>
      <c r="W5" s="5"/>
    </row>
    <row r="6" spans="1:50" ht="87.75" customHeight="1" thickBot="1" x14ac:dyDescent="0.3">
      <c r="A6" s="6"/>
      <c r="B6" s="6"/>
      <c r="C6" s="6"/>
      <c r="D6" s="100" t="str">
        <f>Lookups!A10</f>
        <v>Breast</v>
      </c>
      <c r="E6" s="101"/>
      <c r="F6" s="102" t="s">
        <v>22</v>
      </c>
      <c r="G6" s="103"/>
      <c r="H6" s="103" t="s">
        <v>25</v>
      </c>
      <c r="I6" s="103"/>
      <c r="J6" s="103" t="s">
        <v>26</v>
      </c>
      <c r="K6" s="103"/>
      <c r="L6" s="103" t="s">
        <v>24</v>
      </c>
      <c r="M6" s="103"/>
      <c r="N6" s="103" t="s">
        <v>23</v>
      </c>
      <c r="O6" s="103"/>
      <c r="P6" s="103" t="s">
        <v>27</v>
      </c>
      <c r="Q6" s="103"/>
      <c r="R6" s="103" t="s">
        <v>118</v>
      </c>
      <c r="S6" s="103"/>
      <c r="T6" s="103" t="s">
        <v>28</v>
      </c>
      <c r="U6" s="103"/>
      <c r="V6" s="13" t="s">
        <v>5</v>
      </c>
      <c r="W6" s="16" t="s">
        <v>110</v>
      </c>
      <c r="Y6" s="25" t="s">
        <v>41</v>
      </c>
      <c r="Z6" s="25" t="s">
        <v>46</v>
      </c>
      <c r="AA6" s="25"/>
      <c r="AB6" s="25" t="s">
        <v>37</v>
      </c>
      <c r="AC6" s="19" t="s">
        <v>22</v>
      </c>
      <c r="AD6" s="19" t="s">
        <v>23</v>
      </c>
      <c r="AE6" s="19" t="s">
        <v>24</v>
      </c>
      <c r="AF6" s="19" t="s">
        <v>25</v>
      </c>
      <c r="AG6" s="19" t="s">
        <v>26</v>
      </c>
      <c r="AH6" s="19" t="s">
        <v>27</v>
      </c>
      <c r="AI6" s="19" t="s">
        <v>28</v>
      </c>
      <c r="AJ6" s="19" t="s">
        <v>117</v>
      </c>
    </row>
    <row r="7" spans="1:50" ht="15.75" customHeight="1" thickBot="1" x14ac:dyDescent="0.3">
      <c r="B7" s="114" t="s">
        <v>119</v>
      </c>
      <c r="D7" s="4"/>
      <c r="V7" s="5"/>
      <c r="W7" s="5"/>
      <c r="Y7" s="25" t="str">
        <f>Lookups!A10</f>
        <v>Breast</v>
      </c>
      <c r="Z7" s="25">
        <v>0</v>
      </c>
      <c r="AA7" s="33">
        <v>0</v>
      </c>
      <c r="AB7" s="25" t="s">
        <v>0</v>
      </c>
      <c r="AC7" s="20">
        <f>IF(OR(ISERROR(VLOOKUP($Y$7&amp;$AB7&amp;$Z7,'Comorb data'!$A$3:$AE$170,5,FALSE)),ISBLANK(VLOOKUP($Y$7&amp;$AB7&amp;$Z7,'Comorb data'!$A$3:$AE$170,5,FALSE))),"",VLOOKUP($Y$7&amp;$AB7&amp;$Z7,'Comorb data'!$A$3:$AE$170,5,FALSE))</f>
        <v>0.13998006566604126</v>
      </c>
      <c r="AD7" s="20">
        <f>IF(OR(ISERROR(VLOOKUP($Y$7&amp;$AB7&amp;$Z7,'Comorb data'!$A$3:$AE$170,6,FALSE)),ISBLANK(VLOOKUP($Y$7&amp;$AB7&amp;$Z7,'Comorb data'!$A$3:$AE$170,6,FALSE))),"",VLOOKUP($Y$7&amp;$AB7&amp;$Z7,'Comorb data'!$A$3:$AE$170,6,FALSE))</f>
        <v>2.9315196998123826E-3</v>
      </c>
      <c r="AE7" s="20">
        <f>IF(OR(ISERROR(VLOOKUP($Y$7&amp;$AB7&amp;$Z7,'Comorb data'!$A$3:$AE$170,7,FALSE)),ISBLANK(VLOOKUP($Y$7&amp;$AB7&amp;$Z7,'Comorb data'!$A$3:$AE$170,7,FALSE))),"",VLOOKUP($Y$7&amp;$AB7&amp;$Z7,'Comorb data'!$A$3:$AE$170,7,FALSE))</f>
        <v>1.0055112570356474E-2</v>
      </c>
      <c r="AF7" s="20">
        <f>IF(OR(ISERROR(VLOOKUP($Y$7&amp;$AB7&amp;$Z7,'Comorb data'!$A$3:$AE$170,8,FALSE)),ISBLANK(VLOOKUP($Y$7&amp;$AB7&amp;$Z7,'Comorb data'!$A$3:$AE$170,8,FALSE))),"",VLOOKUP($Y$7&amp;$AB7&amp;$Z7,'Comorb data'!$A$3:$AE$170,8,FALSE))</f>
        <v>3.8637429643527205E-2</v>
      </c>
      <c r="AG7" s="20">
        <f>IF(OR(ISERROR(VLOOKUP($Y$7&amp;$AB7&amp;$Z7,'Comorb data'!$A$3:$AE$170,9,FALSE)),ISBLANK(VLOOKUP($Y$7&amp;$AB7&amp;$Z7,'Comorb data'!$A$3:$AE$170,9,FALSE))),"",VLOOKUP($Y$7&amp;$AB7&amp;$Z7,'Comorb data'!$A$3:$AE$170,9,FALSE))</f>
        <v>0.58562969043151969</v>
      </c>
      <c r="AH7" s="20">
        <f>IF(OR(ISERROR(VLOOKUP($Y$7&amp;$AB7&amp;$Z7,'Comorb data'!$A$3:$AE$170,10,FALSE)),ISBLANK(VLOOKUP($Y$7&amp;$AB7&amp;$Z7,'Comorb data'!$A$3:$AE$170,10,FALSE))),"",VLOOKUP($Y$7&amp;$AB7&amp;$Z7,'Comorb data'!$A$3:$AE$170,10,FALSE))</f>
        <v>3.8989212007504688E-3</v>
      </c>
      <c r="AI7" s="20">
        <f>IF(OR(ISERROR(VLOOKUP($Y$7&amp;$AB7&amp;$Z7,'Comorb data'!$A$3:$AE$170,11,FALSE)),ISBLANK(VLOOKUP($Y$7&amp;$AB7&amp;$Z7,'Comorb data'!$A$3:$AE$170,11,FALSE))),"",VLOOKUP($Y$7&amp;$AB7&amp;$Z7,'Comorb data'!$A$3:$AE$170,11,FALSE))</f>
        <v>1.9318714821763602E-2</v>
      </c>
      <c r="AJ7" s="20">
        <f>IF(OR(ISERROR(VLOOKUP($Y$7&amp;$AB7&amp;$Z7,'Comorb data'!$A$3:$AE$170,12,FALSE)),ISBLANK(VLOOKUP($Y$7&amp;$AB7&amp;$Z7,'Comorb data'!$A$3:$AE$170,12,FALSE))),"",VLOOKUP($Y$7&amp;$AB7&amp;$Z7,'Comorb data'!$A$3:$AE$170,12,FALSE))</f>
        <v>0.1995485459662289</v>
      </c>
    </row>
    <row r="8" spans="1:50" ht="15.75" customHeight="1" thickBot="1" x14ac:dyDescent="0.3">
      <c r="A8" s="7"/>
      <c r="B8" s="115"/>
      <c r="C8" s="7"/>
      <c r="D8" s="126" t="str">
        <f>Lookups!C11</f>
        <v>Screen detected</v>
      </c>
      <c r="E8" s="8">
        <v>0</v>
      </c>
      <c r="F8" s="85">
        <f>IF(OR(ISERROR(VLOOKUP($D$6&amp;$D$8&amp;$E8,'Comorb data'!$A$3:$AE$170,5,FALSE)),ISBLANK(VLOOKUP($D$6&amp;$D$8&amp;$E8,'Comorb data'!$A$3:$AE$170,5,FALSE))),"",VLOOKUP($D$6&amp;$D$8&amp;$E8,'Comorb data'!$A$3:$AE$170,5,FALSE))</f>
        <v>0.13998006566604126</v>
      </c>
      <c r="G8" s="85"/>
      <c r="H8" s="85">
        <f>IF(OR(ISERROR(VLOOKUP($D$6&amp;$D$8&amp;$E8,'Comorb data'!$A$3:$AE$170,8,FALSE)),ISBLANK(VLOOKUP($D$6&amp;$D$8&amp;$E8,'Comorb data'!$A$3:$AE$170,8,FALSE))),"",VLOOKUP($D$6&amp;$D$8&amp;$E8,'Comorb data'!$A$3:$AE$170,8,FALSE))</f>
        <v>3.8637429643527205E-2</v>
      </c>
      <c r="I8" s="85"/>
      <c r="J8" s="85">
        <f>IF(OR(ISERROR(VLOOKUP($D$6&amp;$D$8&amp;$E8,'Comorb data'!$A$3:$AE$170,9,FALSE)),ISBLANK(VLOOKUP($D$6&amp;$D$8&amp;$E8,'Comorb data'!$A$3:$AE$170,9,FALSE))),"",VLOOKUP($D$6&amp;$D$8&amp;$E8,'Comorb data'!$A$3:$AE$170,9,FALSE))</f>
        <v>0.58562969043151969</v>
      </c>
      <c r="K8" s="85"/>
      <c r="L8" s="85">
        <f>IF(OR(ISERROR(VLOOKUP($D$6&amp;$D$8&amp;$E8,'Comorb data'!$A$3:$AE$170,7,FALSE)),ISBLANK(VLOOKUP($D$6&amp;$D$8&amp;$E8,'Comorb data'!$A$3:$AE$170,7,FALSE))),"",VLOOKUP($D$6&amp;$D$8&amp;$E8,'Comorb data'!$A$3:$AE$170,7,FALSE))</f>
        <v>1.0055112570356474E-2</v>
      </c>
      <c r="M8" s="85"/>
      <c r="N8" s="85">
        <f>IF(OR(ISERROR(VLOOKUP($D$6&amp;$D$8&amp;$E8,'Comorb data'!$A$3:$AE$170,6,FALSE)),ISBLANK(VLOOKUP($D$6&amp;$D$8&amp;$E8,'Comorb data'!$A$3:$AE$170,6,FALSE))),"",VLOOKUP($D$6&amp;$D$8&amp;$E8,'Comorb data'!$A$3:$AE$170,6,FALSE))</f>
        <v>2.9315196998123826E-3</v>
      </c>
      <c r="O8" s="85"/>
      <c r="P8" s="85">
        <f>IF(OR(ISERROR(VLOOKUP($D$6&amp;$D$8&amp;$E8,'Comorb data'!$A$3:$AE$170,10,FALSE)),ISBLANK(VLOOKUP($D$6&amp;$D$8&amp;$E8,'Comorb data'!$A$3:$AE$170,10,FALSE))),"",VLOOKUP($D$6&amp;$D$8&amp;$E8,'Comorb data'!$A$3:$AE$170,10,FALSE))</f>
        <v>3.8989212007504688E-3</v>
      </c>
      <c r="Q8" s="85"/>
      <c r="R8" s="85">
        <f>IF(OR(ISERROR(VLOOKUP($D$6&amp;$D$8&amp;$E8,'Comorb data'!$A$3:$AE$170,12,FALSE)),ISBLANK(VLOOKUP($D$6&amp;$D$8&amp;$E8,'Comorb data'!$A$3:$AE$170,12,FALSE))),"",VLOOKUP($D$6&amp;$D$8&amp;$E8,'Comorb data'!$A$3:$AE$170,12,FALSE))</f>
        <v>0.1995485459662289</v>
      </c>
      <c r="S8" s="85"/>
      <c r="T8" s="85">
        <f>IF(OR(ISERROR(VLOOKUP($D$6&amp;$D$8&amp;$E8,'Comorb data'!$A$3:$AE$170,11,FALSE)),ISBLANK(VLOOKUP($D$6&amp;$D$8&amp;$E8,'Comorb data'!$A$3:$AE$170,11,FALSE))),"",VLOOKUP($D$6&amp;$D$8&amp;$E8,'Comorb data'!$A$3:$AE$170,11,FALSE))</f>
        <v>1.9318714821763602E-2</v>
      </c>
      <c r="U8" s="85"/>
      <c r="V8" s="86">
        <f>SUM(F8,N8,L8,H8,J8,P8,T8,R8)</f>
        <v>1</v>
      </c>
      <c r="W8" s="83">
        <f>IF(OR(ISERROR(VLOOKUP($D$6&amp;$D$8&amp;$E8,'Comorb data'!$A$3:$AE$170,14,FALSE)),ISBLANK(VLOOKUP($D$6&amp;$D$8&amp;$E8,'Comorb data'!$A$3:$AE$170,14,FALSE))),"",VLOOKUP($D$6&amp;$D$8&amp;$E8,'Comorb data'!$A$3:$AE$170,14,FALSE))</f>
        <v>34112</v>
      </c>
      <c r="Y8" s="25"/>
      <c r="Z8" s="25">
        <v>0</v>
      </c>
      <c r="AA8" s="33"/>
      <c r="AB8" s="25" t="s">
        <v>1</v>
      </c>
      <c r="AC8" s="20">
        <f>IF(OR(ISERROR(VLOOKUP($Y$7&amp;$AB8&amp;$Z8,'Comorb data'!$A$3:$AE$170,5,FALSE)),ISBLANK(VLOOKUP($Y$7&amp;$AB8&amp;$Z8,'Comorb data'!$A$3:$AE$170,5,FALSE))),"",VLOOKUP($Y$7&amp;$AB8&amp;$Z8,'Comorb data'!$A$3:$AE$170,5,FALSE))</f>
        <v>0.14401047740361328</v>
      </c>
      <c r="AD8" s="20">
        <f>IF(OR(ISERROR(VLOOKUP($Y$7&amp;$AB8&amp;$Z8,'Comorb data'!$A$3:$AE$170,6,FALSE)),ISBLANK(VLOOKUP($Y$7&amp;$AB8&amp;$Z8,'Comorb data'!$A$3:$AE$170,6,FALSE))),"",VLOOKUP($Y$7&amp;$AB8&amp;$Z8,'Comorb data'!$A$3:$AE$170,6,FALSE))</f>
        <v>1.7276951506126768E-2</v>
      </c>
      <c r="AE8" s="20">
        <f>IF(OR(ISERROR(VLOOKUP($Y$7&amp;$AB8&amp;$Z8,'Comorb data'!$A$3:$AE$170,7,FALSE)),ISBLANK(VLOOKUP($Y$7&amp;$AB8&amp;$Z8,'Comorb data'!$A$3:$AE$170,7,FALSE))),"",VLOOKUP($Y$7&amp;$AB8&amp;$Z8,'Comorb data'!$A$3:$AE$170,7,FALSE))</f>
        <v>9.0959651231633139E-3</v>
      </c>
      <c r="AF8" s="20">
        <f>IF(OR(ISERROR(VLOOKUP($Y$7&amp;$AB8&amp;$Z8,'Comorb data'!$A$3:$AE$170,8,FALSE)),ISBLANK(VLOOKUP($Y$7&amp;$AB8&amp;$Z8,'Comorb data'!$A$3:$AE$170,8,FALSE))),"",VLOOKUP($Y$7&amp;$AB8&amp;$Z8,'Comorb data'!$A$3:$AE$170,8,FALSE))</f>
        <v>7.8329356464952732E-2</v>
      </c>
      <c r="AG8" s="20">
        <f>IF(OR(ISERROR(VLOOKUP($Y$7&amp;$AB8&amp;$Z8,'Comorb data'!$A$3:$AE$170,9,FALSE)),ISBLANK(VLOOKUP($Y$7&amp;$AB8&amp;$Z8,'Comorb data'!$A$3:$AE$170,9,FALSE))),"",VLOOKUP($Y$7&amp;$AB8&amp;$Z8,'Comorb data'!$A$3:$AE$170,9,FALSE))</f>
        <v>0.26591793896553578</v>
      </c>
      <c r="AH8" s="20">
        <f>IF(OR(ISERROR(VLOOKUP($Y$7&amp;$AB8&amp;$Z8,'Comorb data'!$A$3:$AE$170,10,FALSE)),ISBLANK(VLOOKUP($Y$7&amp;$AB8&amp;$Z8,'Comorb data'!$A$3:$AE$170,10,FALSE))),"",VLOOKUP($Y$7&amp;$AB8&amp;$Z8,'Comorb data'!$A$3:$AE$170,10,FALSE))</f>
        <v>1.2038249699492276E-2</v>
      </c>
      <c r="AI8" s="20">
        <f>IF(OR(ISERROR(VLOOKUP($Y$7&amp;$AB8&amp;$Z8,'Comorb data'!$A$3:$AE$170,11,FALSE)),ISBLANK(VLOOKUP($Y$7&amp;$AB8&amp;$Z8,'Comorb data'!$A$3:$AE$170,11,FALSE))),"",VLOOKUP($Y$7&amp;$AB8&amp;$Z8,'Comorb data'!$A$3:$AE$170,11,FALSE))</f>
        <v>9.8315362672455553E-2</v>
      </c>
      <c r="AJ8" s="20">
        <f>IF(OR(ISERROR(VLOOKUP($Y$7&amp;$AB8&amp;$Z8,'Comorb data'!$A$3:$AE$170,12,FALSE)),ISBLANK(VLOOKUP($Y$7&amp;$AB8&amp;$Z8,'Comorb data'!$A$3:$AE$170,12,FALSE))),"",VLOOKUP($Y$7&amp;$AB8&amp;$Z8,'Comorb data'!$A$3:$AE$170,12,FALSE))</f>
        <v>0.37501569816466029</v>
      </c>
    </row>
    <row r="9" spans="1:50" ht="15.75" customHeight="1" thickBot="1" x14ac:dyDescent="0.3">
      <c r="D9" s="127"/>
      <c r="E9" s="9" t="s">
        <v>6</v>
      </c>
      <c r="F9" s="10">
        <f>IF(F8="","",VLOOKUP($D$6&amp;$D$8&amp;$E8,'Comorb data'!$A$3:$AE$170,16,FALSE))</f>
        <v>0.13600000000000001</v>
      </c>
      <c r="G9" s="10">
        <f>IF(F8="","",VLOOKUP($D$6&amp;$D$8&amp;$E8,'Comorb data'!$A$3:$AE$170,17,FALSE))</f>
        <v>0.14399999999999999</v>
      </c>
      <c r="H9" s="10">
        <f>IF(H8="","",VLOOKUP($D$6&amp;$D$8&amp;$E8,'Comorb data'!$A$3:$AE$170,22,FALSE))</f>
        <v>3.6999999999999998E-2</v>
      </c>
      <c r="I9" s="10">
        <f>IF(H8="","",VLOOKUP($D$6&amp;$D$8&amp;$E8,'Comorb data'!$A$3:$AE$170,23,FALSE))</f>
        <v>4.1000000000000002E-2</v>
      </c>
      <c r="J9" s="10">
        <f>IF(J8="","",VLOOKUP($D$6&amp;$D$8&amp;$E8,'Comorb data'!$A$3:$AE$170,24,FALSE))</f>
        <v>0.57999999999999996</v>
      </c>
      <c r="K9" s="10">
        <f>IF(J8="","",VLOOKUP($D$6&amp;$D$8&amp;$E8,'Comorb data'!$A$3:$AE$170,25,FALSE))</f>
        <v>0.59099999999999997</v>
      </c>
      <c r="L9" s="10">
        <f>IF(L8="","",VLOOKUP($D$6&amp;$D$8&amp;$E8,'Comorb data'!$A$3:$AE$170,20,FALSE))</f>
        <v>8.9999999999999993E-3</v>
      </c>
      <c r="M9" s="10">
        <f>IF(L8="","",VLOOKUP($D$6&amp;$D$8&amp;$E8,'Comorb data'!$A$3:$AE$170,21,FALSE))</f>
        <v>1.0999999999999999E-2</v>
      </c>
      <c r="N9" s="10">
        <f>IF(N8="","",VLOOKUP($D$6&amp;$D$8&amp;$E8,'Comorb data'!$A$3:$AE$170,18,FALSE))</f>
        <v>2E-3</v>
      </c>
      <c r="O9" s="10">
        <f>IF(N8="","",VLOOKUP($D$6&amp;$D$8&amp;$E8,'Comorb data'!$A$3:$AE$170,19,FALSE))</f>
        <v>4.0000000000000001E-3</v>
      </c>
      <c r="P9" s="10">
        <f>IF(P8="","",VLOOKUP($D$6&amp;$D$8&amp;$E8,'Comorb data'!$A$3:$AE$170,26,FALSE))</f>
        <v>3.0000000000000001E-3</v>
      </c>
      <c r="Q9" s="10">
        <f>IF(P8="","",VLOOKUP($D$6&amp;$D$8&amp;$E8,'Comorb data'!$A$3:$AE$170,27,FALSE))</f>
        <v>5.0000000000000001E-3</v>
      </c>
      <c r="R9" s="10">
        <f>IF(R8="","",VLOOKUP($D$6&amp;$D$8&amp;$E8,'Comorb data'!$A$3:$AE$170,30,FALSE))</f>
        <v>0.19500000000000001</v>
      </c>
      <c r="S9" s="10">
        <f>IF(R8="","",VLOOKUP($D$6&amp;$D$8&amp;$E8,'Comorb data'!$A$3:$AE$170,31,FALSE))</f>
        <v>0.20399999999999999</v>
      </c>
      <c r="T9" s="10">
        <f>IF(T8="","",VLOOKUP($D$6&amp;$D$8&amp;$E8,'Comorb data'!$A$3:$AE$170,28,FALSE))</f>
        <v>1.7999999999999999E-2</v>
      </c>
      <c r="U9" s="10">
        <f>IF(T8="","",VLOOKUP($D$6&amp;$D$8&amp;$E8,'Comorb data'!$A$3:$AE$170,29,FALSE))</f>
        <v>2.1000000000000001E-2</v>
      </c>
      <c r="V9" s="87"/>
      <c r="W9" s="84"/>
      <c r="Y9" s="25"/>
      <c r="Z9" s="25">
        <v>0</v>
      </c>
      <c r="AA9" s="33"/>
      <c r="AB9" s="25" t="s">
        <v>2</v>
      </c>
      <c r="AC9" s="20">
        <f>IF(OR(ISERROR(VLOOKUP($Y$7&amp;$AB9&amp;$Z9,'Comorb data'!$A$3:$AE$170,5,FALSE)),ISBLANK(VLOOKUP($Y$7&amp;$AB9&amp;$Z9,'Comorb data'!$A$3:$AE$170,5,FALSE))),"",VLOOKUP($Y$7&amp;$AB9&amp;$Z9,'Comorb data'!$A$3:$AE$170,5,FALSE))</f>
        <v>0.20393811533052039</v>
      </c>
      <c r="AD9" s="20">
        <f>IF(OR(ISERROR(VLOOKUP($Y$7&amp;$AB9&amp;$Z9,'Comorb data'!$A$3:$AE$170,6,FALSE)),ISBLANK(VLOOKUP($Y$7&amp;$AB9&amp;$Z9,'Comorb data'!$A$3:$AE$170,6,FALSE))),"",VLOOKUP($Y$7&amp;$AB9&amp;$Z9,'Comorb data'!$A$3:$AE$170,6,FALSE))</f>
        <v>3.5269934004111221E-2</v>
      </c>
      <c r="AE9" s="20">
        <f>IF(OR(ISERROR(VLOOKUP($Y$7&amp;$AB9&amp;$Z9,'Comorb data'!$A$3:$AE$170,7,FALSE)),ISBLANK(VLOOKUP($Y$7&amp;$AB9&amp;$Z9,'Comorb data'!$A$3:$AE$170,7,FALSE))),"",VLOOKUP($Y$7&amp;$AB9&amp;$Z9,'Comorb data'!$A$3:$AE$170,7,FALSE))</f>
        <v>5.128205128205128E-2</v>
      </c>
      <c r="AF9" s="20">
        <f>IF(OR(ISERROR(VLOOKUP($Y$7&amp;$AB9&amp;$Z9,'Comorb data'!$A$3:$AE$170,8,FALSE)),ISBLANK(VLOOKUP($Y$7&amp;$AB9&amp;$Z9,'Comorb data'!$A$3:$AE$170,8,FALSE))),"",VLOOKUP($Y$7&amp;$AB9&amp;$Z9,'Comorb data'!$A$3:$AE$170,8,FALSE))</f>
        <v>7.1405387861084066E-2</v>
      </c>
      <c r="AG9" s="20">
        <f>IF(OR(ISERROR(VLOOKUP($Y$7&amp;$AB9&amp;$Z9,'Comorb data'!$A$3:$AE$170,9,FALSE)),ISBLANK(VLOOKUP($Y$7&amp;$AB9&amp;$Z9,'Comorb data'!$A$3:$AE$170,9,FALSE))),"",VLOOKUP($Y$7&amp;$AB9&amp;$Z9,'Comorb data'!$A$3:$AE$170,9,FALSE))</f>
        <v>0.20404630531212808</v>
      </c>
      <c r="AH9" s="20">
        <f>IF(OR(ISERROR(VLOOKUP($Y$7&amp;$AB9&amp;$Z9,'Comorb data'!$A$3:$AE$170,10,FALSE)),ISBLANK(VLOOKUP($Y$7&amp;$AB9&amp;$Z9,'Comorb data'!$A$3:$AE$170,10,FALSE))),"",VLOOKUP($Y$7&amp;$AB9&amp;$Z9,'Comorb data'!$A$3:$AE$170,10,FALSE))</f>
        <v>3.4620794114465003E-2</v>
      </c>
      <c r="AI9" s="20">
        <f>IF(OR(ISERROR(VLOOKUP($Y$7&amp;$AB9&amp;$Z9,'Comorb data'!$A$3:$AE$170,11,FALSE)),ISBLANK(VLOOKUP($Y$7&amp;$AB9&amp;$Z9,'Comorb data'!$A$3:$AE$170,11,FALSE))),"",VLOOKUP($Y$7&amp;$AB9&amp;$Z9,'Comorb data'!$A$3:$AE$170,11,FALSE))</f>
        <v>0.20339716542248187</v>
      </c>
      <c r="AJ9" s="20">
        <f>IF(OR(ISERROR(VLOOKUP($Y$7&amp;$AB9&amp;$Z9,'Comorb data'!$A$3:$AE$170,12,FALSE)),ISBLANK(VLOOKUP($Y$7&amp;$AB9&amp;$Z9,'Comorb data'!$A$3:$AE$170,12,FALSE))),"",VLOOKUP($Y$7&amp;$AB9&amp;$Z9,'Comorb data'!$A$3:$AE$170,12,FALSE))</f>
        <v>0.19604024667315806</v>
      </c>
    </row>
    <row r="10" spans="1:50" ht="15.75" x14ac:dyDescent="0.25">
      <c r="D10" s="127"/>
      <c r="E10" s="15">
        <v>1</v>
      </c>
      <c r="F10" s="85">
        <f>IF(OR(ISERROR(VLOOKUP($D$6&amp;$D$8&amp;$E10,'Comorb data'!$A$3:$AE$170,5,FALSE)),ISBLANK(VLOOKUP($D$6&amp;$D$8&amp;$E10,'Comorb data'!$A$3:$AE$170,5,FALSE))),"",VLOOKUP($D$6&amp;$D$8&amp;$E10,'Comorb data'!$A$3:$AE$170,5,FALSE))</f>
        <v>0.16028253192067374</v>
      </c>
      <c r="G10" s="85"/>
      <c r="H10" s="85">
        <f>IF(OR(ISERROR(VLOOKUP($D$6&amp;$D$8&amp;$E10,'Comorb data'!$A$3:$AE$170,8,FALSE)),ISBLANK(VLOOKUP($D$6&amp;$D$8&amp;$E10,'Comorb data'!$A$3:$AE$170,8,FALSE))),"",VLOOKUP($D$6&amp;$D$8&amp;$E10,'Comorb data'!$A$3:$AE$170,8,FALSE))</f>
        <v>4.2379788101059496E-2</v>
      </c>
      <c r="I10" s="85"/>
      <c r="J10" s="85">
        <f>IF(OR(ISERROR(VLOOKUP($D$6&amp;$D$8&amp;$E10,'Comorb data'!$A$3:$AE$170,9,FALSE)),ISBLANK(VLOOKUP($D$6&amp;$D$8&amp;$E10,'Comorb data'!$A$3:$AE$170,9,FALSE))),"",VLOOKUP($D$6&amp;$D$8&amp;$E10,'Comorb data'!$A$3:$AE$170,9,FALSE))</f>
        <v>0.58571040478130942</v>
      </c>
      <c r="K10" s="85"/>
      <c r="L10" s="85">
        <f>IF(OR(ISERROR(VLOOKUP($D$6&amp;$D$8&amp;$E10,'Comorb data'!$A$3:$AE$170,7,FALSE)),ISBLANK(VLOOKUP($D$6&amp;$D$8&amp;$E10,'Comorb data'!$A$3:$AE$170,7,FALSE))),"",VLOOKUP($D$6&amp;$D$8&amp;$E10,'Comorb data'!$A$3:$AE$170,7,FALSE))</f>
        <v>4.6183102417821243E-3</v>
      </c>
      <c r="M10" s="85"/>
      <c r="N10" s="85">
        <f>IF(OR(ISERROR(VLOOKUP($D$6&amp;$D$8&amp;$E10,'Comorb data'!$A$3:$AE$170,6,FALSE)),ISBLANK(VLOOKUP($D$6&amp;$D$8&amp;$E10,'Comorb data'!$A$3:$AE$170,6,FALSE))),"",VLOOKUP($D$6&amp;$D$8&amp;$E10,'Comorb data'!$A$3:$AE$170,6,FALSE))</f>
        <v>2.9883183917413748E-3</v>
      </c>
      <c r="O10" s="85"/>
      <c r="P10" s="85">
        <f>IF(OR(ISERROR(VLOOKUP($D$6&amp;$D$8&amp;$E10,'Comorb data'!$A$3:$AE$170,10,FALSE)),ISBLANK(VLOOKUP($D$6&amp;$D$8&amp;$E10,'Comorb data'!$A$3:$AE$170,10,FALSE))),"",VLOOKUP($D$6&amp;$D$8&amp;$E10,'Comorb data'!$A$3:$AE$170,10,FALSE))</f>
        <v>2.1733224667209996E-3</v>
      </c>
      <c r="Q10" s="85"/>
      <c r="R10" s="85">
        <f>IF(OR(ISERROR(VLOOKUP($D$6&amp;$D$8&amp;$E10,'Comorb data'!$A$3:$AE$170,12,FALSE)),ISBLANK(VLOOKUP($D$6&amp;$D$8&amp;$E10,'Comorb data'!$A$3:$AE$170,12,FALSE))),"",VLOOKUP($D$6&amp;$D$8&amp;$E10,'Comorb data'!$A$3:$AE$170,12,FALSE))</f>
        <v>0.17631078511274109</v>
      </c>
      <c r="S10" s="85"/>
      <c r="T10" s="85">
        <f>IF(OR(ISERROR(VLOOKUP($D$6&amp;$D$8&amp;$E10,'Comorb data'!$A$3:$AE$170,11,FALSE)),ISBLANK(VLOOKUP($D$6&amp;$D$8&amp;$E10,'Comorb data'!$A$3:$AE$170,11,FALSE))),"",VLOOKUP($D$6&amp;$D$8&amp;$E10,'Comorb data'!$A$3:$AE$170,11,FALSE))</f>
        <v>2.5536538983971745E-2</v>
      </c>
      <c r="U10" s="85"/>
      <c r="V10" s="86">
        <f>SUM(F10,N10,L10,H10,J10,P10,T10,R10)</f>
        <v>1</v>
      </c>
      <c r="W10" s="83">
        <f>IF(OR(ISERROR(VLOOKUP($D$6&amp;$D$8&amp;$E10,'Comorb data'!$A$3:$AE$170,14,FALSE)),ISBLANK(VLOOKUP($D$6&amp;$D$8&amp;$E10,'Comorb data'!$A$3:$AE$170,14,FALSE))),"",VLOOKUP($D$6&amp;$D$8&amp;$E10,'Comorb data'!$A$3:$AE$170,14,FALSE))</f>
        <v>3681</v>
      </c>
      <c r="Y10" s="25"/>
      <c r="Z10" s="25">
        <v>0</v>
      </c>
      <c r="AA10" s="33"/>
      <c r="AB10" s="25" t="s">
        <v>32</v>
      </c>
      <c r="AC10" s="20">
        <f>IF(OR(ISERROR(VLOOKUP($Y$7&amp;$AB10&amp;$Z10,'Comorb data'!$A$3:$AE$170,5,FALSE)),ISBLANK(VLOOKUP($Y$7&amp;$AB10&amp;$Z10,'Comorb data'!$A$3:$AE$170,5,FALSE))),"",VLOOKUP($Y$7&amp;$AB10&amp;$Z10,'Comorb data'!$A$3:$AE$170,5,FALSE))</f>
        <v>0.24511469838572641</v>
      </c>
      <c r="AD10" s="20">
        <f>IF(OR(ISERROR(VLOOKUP($Y$7&amp;$AB10&amp;$Z10,'Comorb data'!$A$3:$AE$170,6,FALSE)),ISBLANK(VLOOKUP($Y$7&amp;$AB10&amp;$Z10,'Comorb data'!$A$3:$AE$170,6,FALSE))),"",VLOOKUP($Y$7&amp;$AB10&amp;$Z10,'Comorb data'!$A$3:$AE$170,6,FALSE))</f>
        <v>4.4180118946474084E-2</v>
      </c>
      <c r="AE10" s="20">
        <f>IF(OR(ISERROR(VLOOKUP($Y$7&amp;$AB10&amp;$Z10,'Comorb data'!$A$3:$AE$170,7,FALSE)),ISBLANK(VLOOKUP($Y$7&amp;$AB10&amp;$Z10,'Comorb data'!$A$3:$AE$170,7,FALSE))),"",VLOOKUP($Y$7&amp;$AB10&amp;$Z10,'Comorb data'!$A$3:$AE$170,7,FALSE))</f>
        <v>3.7383177570093455E-2</v>
      </c>
      <c r="AF10" s="20">
        <f>IF(OR(ISERROR(VLOOKUP($Y$7&amp;$AB10&amp;$Z10,'Comorb data'!$A$3:$AE$170,8,FALSE)),ISBLANK(VLOOKUP($Y$7&amp;$AB10&amp;$Z10,'Comorb data'!$A$3:$AE$170,8,FALSE))),"",VLOOKUP($Y$7&amp;$AB10&amp;$Z10,'Comorb data'!$A$3:$AE$170,8,FALSE))</f>
        <v>7.7315208156329654E-2</v>
      </c>
      <c r="AG10" s="20">
        <f>IF(OR(ISERROR(VLOOKUP($Y$7&amp;$AB10&amp;$Z10,'Comorb data'!$A$3:$AE$170,9,FALSE)),ISBLANK(VLOOKUP($Y$7&amp;$AB10&amp;$Z10,'Comorb data'!$A$3:$AE$170,9,FALSE))),"",VLOOKUP($Y$7&amp;$AB10&amp;$Z10,'Comorb data'!$A$3:$AE$170,9,FALSE))</f>
        <v>0.25573491928632114</v>
      </c>
      <c r="AH10" s="20">
        <f>IF(OR(ISERROR(VLOOKUP($Y$7&amp;$AB10&amp;$Z10,'Comorb data'!$A$3:$AE$170,10,FALSE)),ISBLANK(VLOOKUP($Y$7&amp;$AB10&amp;$Z10,'Comorb data'!$A$3:$AE$170,10,FALSE))),"",VLOOKUP($Y$7&amp;$AB10&amp;$Z10,'Comorb data'!$A$3:$AE$170,10,FALSE))</f>
        <v>3.610875106202209E-2</v>
      </c>
      <c r="AI10" s="20">
        <f>IF(OR(ISERROR(VLOOKUP($Y$7&amp;$AB10&amp;$Z10,'Comorb data'!$A$3:$AE$170,11,FALSE)),ISBLANK(VLOOKUP($Y$7&amp;$AB10&amp;$Z10,'Comorb data'!$A$3:$AE$170,11,FALSE))),"",VLOOKUP($Y$7&amp;$AB10&amp;$Z10,'Comorb data'!$A$3:$AE$170,11,FALSE))</f>
        <v>0.14910790144435004</v>
      </c>
      <c r="AJ10" s="20">
        <f>IF(OR(ISERROR(VLOOKUP($Y$7&amp;$AB10&amp;$Z10,'Comorb data'!$A$3:$AE$170,12,FALSE)),ISBLANK(VLOOKUP($Y$7&amp;$AB10&amp;$Z10,'Comorb data'!$A$3:$AE$170,12,FALSE))),"",VLOOKUP($Y$7&amp;$AB10&amp;$Z10,'Comorb data'!$A$3:$AE$170,12,FALSE))</f>
        <v>0.15505522514868308</v>
      </c>
    </row>
    <row r="11" spans="1:50" ht="15.75" customHeight="1" thickBot="1" x14ac:dyDescent="0.3">
      <c r="D11" s="127"/>
      <c r="E11" s="9" t="s">
        <v>6</v>
      </c>
      <c r="F11" s="10">
        <f>IF(F10="","",VLOOKUP($D$6&amp;$D$8&amp;$E10,'Comorb data'!$A$3:$AE$170,16,FALSE))</f>
        <v>0.14899999999999999</v>
      </c>
      <c r="G11" s="10">
        <f>IF(F10="","",VLOOKUP($D$6&amp;$D$8&amp;$E10,'Comorb data'!$A$3:$AE$170,17,FALSE))</f>
        <v>0.17199999999999999</v>
      </c>
      <c r="H11" s="10">
        <f>IF(H10="","",VLOOKUP($D$6&amp;$D$8&amp;$E10,'Comorb data'!$A$3:$AE$170,22,FALSE))</f>
        <v>3.5999999999999997E-2</v>
      </c>
      <c r="I11" s="10">
        <f>IF(H10="","",VLOOKUP($D$6&amp;$D$8&amp;$E10,'Comorb data'!$A$3:$AE$170,23,FALSE))</f>
        <v>4.9000000000000002E-2</v>
      </c>
      <c r="J11" s="10">
        <f>IF(J10="","",VLOOKUP($D$6&amp;$D$8&amp;$E10,'Comorb data'!$A$3:$AE$170,24,FALSE))</f>
        <v>0.56999999999999995</v>
      </c>
      <c r="K11" s="10">
        <f>IF(J10="","",VLOOKUP($D$6&amp;$D$8&amp;$E10,'Comorb data'!$A$3:$AE$170,25,FALSE))</f>
        <v>0.60199999999999998</v>
      </c>
      <c r="L11" s="10">
        <f>IF(L10="","",VLOOKUP($D$6&amp;$D$8&amp;$E10,'Comorb data'!$A$3:$AE$170,20,FALSE))</f>
        <v>3.0000000000000001E-3</v>
      </c>
      <c r="M11" s="10">
        <f>IF(L10="","",VLOOKUP($D$6&amp;$D$8&amp;$E10,'Comorb data'!$A$3:$AE$170,21,FALSE))</f>
        <v>7.0000000000000001E-3</v>
      </c>
      <c r="N11" s="10">
        <f>IF(N10="","",VLOOKUP($D$6&amp;$D$8&amp;$E10,'Comorb data'!$A$3:$AE$170,18,FALSE))</f>
        <v>2E-3</v>
      </c>
      <c r="O11" s="10">
        <f>IF(N10="","",VLOOKUP($D$6&amp;$D$8&amp;$E10,'Comorb data'!$A$3:$AE$170,19,FALSE))</f>
        <v>5.0000000000000001E-3</v>
      </c>
      <c r="P11" s="10">
        <f>IF(P10="","",VLOOKUP($D$6&amp;$D$8&amp;$E10,'Comorb data'!$A$3:$AE$170,26,FALSE))</f>
        <v>1E-3</v>
      </c>
      <c r="Q11" s="10">
        <f>IF(P10="","",VLOOKUP($D$6&amp;$D$8&amp;$E10,'Comorb data'!$A$3:$AE$170,27,FALSE))</f>
        <v>4.0000000000000001E-3</v>
      </c>
      <c r="R11" s="10">
        <f>IF(R10="","",VLOOKUP($D$6&amp;$D$8&amp;$E10,'Comorb data'!$A$3:$AE$170,30,FALSE))</f>
        <v>0.16400000000000001</v>
      </c>
      <c r="S11" s="10">
        <f>IF(R10="","",VLOOKUP($D$6&amp;$D$8&amp;$E10,'Comorb data'!$A$3:$AE$170,31,FALSE))</f>
        <v>0.189</v>
      </c>
      <c r="T11" s="10">
        <f>IF(T10="","",VLOOKUP($D$6&amp;$D$8&amp;$E10,'Comorb data'!$A$3:$AE$170,28,FALSE))</f>
        <v>2.1000000000000001E-2</v>
      </c>
      <c r="U11" s="10">
        <f>IF(T10="","",VLOOKUP($D$6&amp;$D$8&amp;$E10,'Comorb data'!$A$3:$AE$170,29,FALSE))</f>
        <v>3.1E-2</v>
      </c>
      <c r="V11" s="87"/>
      <c r="W11" s="84"/>
      <c r="Y11" s="25"/>
      <c r="Z11" s="25">
        <v>0</v>
      </c>
      <c r="AA11" s="33"/>
      <c r="AB11" s="25" t="s">
        <v>3</v>
      </c>
      <c r="AC11" s="20">
        <f>IF(OR(ISERROR(VLOOKUP($Y$7&amp;$AB11&amp;$Z11,'Comorb data'!$A$3:$AE$170,5,FALSE)),ISBLANK(VLOOKUP($Y$7&amp;$AB11&amp;$Z11,'Comorb data'!$A$3:$AE$170,5,FALSE))),"",VLOOKUP($Y$7&amp;$AB11&amp;$Z11,'Comorb data'!$A$3:$AE$170,5,FALSE))</f>
        <v>6.7684331797235028E-2</v>
      </c>
      <c r="AD11" s="20">
        <f>IF(OR(ISERROR(VLOOKUP($Y$7&amp;$AB11&amp;$Z11,'Comorb data'!$A$3:$AE$170,6,FALSE)),ISBLANK(VLOOKUP($Y$7&amp;$AB11&amp;$Z11,'Comorb data'!$A$3:$AE$170,6,FALSE))),"",VLOOKUP($Y$7&amp;$AB11&amp;$Z11,'Comorb data'!$A$3:$AE$170,6,FALSE))</f>
        <v>6.4804147465437792E-2</v>
      </c>
      <c r="AE11" s="20">
        <f>IF(OR(ISERROR(VLOOKUP($Y$7&amp;$AB11&amp;$Z11,'Comorb data'!$A$3:$AE$170,7,FALSE)),ISBLANK(VLOOKUP($Y$7&amp;$AB11&amp;$Z11,'Comorb data'!$A$3:$AE$170,7,FALSE))),"",VLOOKUP($Y$7&amp;$AB11&amp;$Z11,'Comorb data'!$A$3:$AE$170,7,FALSE))</f>
        <v>9.5046082949308761E-2</v>
      </c>
      <c r="AF11" s="20">
        <f>IF(OR(ISERROR(VLOOKUP($Y$7&amp;$AB11&amp;$Z11,'Comorb data'!$A$3:$AE$170,8,FALSE)),ISBLANK(VLOOKUP($Y$7&amp;$AB11&amp;$Z11,'Comorb data'!$A$3:$AE$170,8,FALSE))),"",VLOOKUP($Y$7&amp;$AB11&amp;$Z11,'Comorb data'!$A$3:$AE$170,8,FALSE))</f>
        <v>1.5841013824884793E-2</v>
      </c>
      <c r="AG11" s="20">
        <f>IF(OR(ISERROR(VLOOKUP($Y$7&amp;$AB11&amp;$Z11,'Comorb data'!$A$3:$AE$170,9,FALSE)),ISBLANK(VLOOKUP($Y$7&amp;$AB11&amp;$Z11,'Comorb data'!$A$3:$AE$170,9,FALSE))),"",VLOOKUP($Y$7&amp;$AB11&amp;$Z11,'Comorb data'!$A$3:$AE$170,9,FALSE))</f>
        <v>6.1059907834101382E-2</v>
      </c>
      <c r="AH11" s="20">
        <f>IF(OR(ISERROR(VLOOKUP($Y$7&amp;$AB11&amp;$Z11,'Comorb data'!$A$3:$AE$170,10,FALSE)),ISBLANK(VLOOKUP($Y$7&amp;$AB11&amp;$Z11,'Comorb data'!$A$3:$AE$170,10,FALSE))),"",VLOOKUP($Y$7&amp;$AB11&amp;$Z11,'Comorb data'!$A$3:$AE$170,10,FALSE))</f>
        <v>5.6163594470046083E-2</v>
      </c>
      <c r="AI11" s="20">
        <f>IF(OR(ISERROR(VLOOKUP($Y$7&amp;$AB11&amp;$Z11,'Comorb data'!$A$3:$AE$170,11,FALSE)),ISBLANK(VLOOKUP($Y$7&amp;$AB11&amp;$Z11,'Comorb data'!$A$3:$AE$170,11,FALSE))),"",VLOOKUP($Y$7&amp;$AB11&amp;$Z11,'Comorb data'!$A$3:$AE$170,11,FALSE))</f>
        <v>0.57200460829493083</v>
      </c>
      <c r="AJ11" s="20">
        <f>IF(OR(ISERROR(VLOOKUP($Y$7&amp;$AB11&amp;$Z11,'Comorb data'!$A$3:$AE$170,12,FALSE)),ISBLANK(VLOOKUP($Y$7&amp;$AB11&amp;$Z11,'Comorb data'!$A$3:$AE$170,12,FALSE))),"",VLOOKUP($Y$7&amp;$AB11&amp;$Z11,'Comorb data'!$A$3:$AE$170,12,FALSE))</f>
        <v>6.7396313364055299E-2</v>
      </c>
    </row>
    <row r="12" spans="1:50" ht="15.75" x14ac:dyDescent="0.25">
      <c r="D12" s="127"/>
      <c r="E12" s="15">
        <v>2</v>
      </c>
      <c r="F12" s="85">
        <f>IF(OR(ISERROR(VLOOKUP($D$6&amp;$D$8&amp;$E12,'Comorb data'!$A$3:$AE$170,5,FALSE)),ISBLANK(VLOOKUP($D$6&amp;$D$8&amp;$E12,'Comorb data'!$A$3:$AE$170,5,FALSE))),"",VLOOKUP($D$6&amp;$D$8&amp;$E12,'Comorb data'!$A$3:$AE$170,5,FALSE))</f>
        <v>0.18169014084507043</v>
      </c>
      <c r="G12" s="85"/>
      <c r="H12" s="85">
        <f>IF(OR(ISERROR(VLOOKUP($D$6&amp;$D$8&amp;$E12,'Comorb data'!$A$3:$AE$170,8,FALSE)),ISBLANK(VLOOKUP($D$6&amp;$D$8&amp;$E12,'Comorb data'!$A$3:$AE$170,8,FALSE))),"",VLOOKUP($D$6&amp;$D$8&amp;$E12,'Comorb data'!$A$3:$AE$170,8,FALSE))</f>
        <v>3.873239436619718E-2</v>
      </c>
      <c r="I12" s="85"/>
      <c r="J12" s="85">
        <f>IF(OR(ISERROR(VLOOKUP($D$6&amp;$D$8&amp;$E12,'Comorb data'!$A$3:$AE$170,9,FALSE)),ISBLANK(VLOOKUP($D$6&amp;$D$8&amp;$E12,'Comorb data'!$A$3:$AE$170,9,FALSE))),"",VLOOKUP($D$6&amp;$D$8&amp;$E12,'Comorb data'!$A$3:$AE$170,9,FALSE))</f>
        <v>0.6049295774647887</v>
      </c>
      <c r="K12" s="85"/>
      <c r="L12" s="85">
        <f>IF(OR(ISERROR(VLOOKUP($D$6&amp;$D$8&amp;$E12,'Comorb data'!$A$3:$AE$170,7,FALSE)),ISBLANK(VLOOKUP($D$6&amp;$D$8&amp;$E12,'Comorb data'!$A$3:$AE$170,7,FALSE))),"",VLOOKUP($D$6&amp;$D$8&amp;$E12,'Comorb data'!$A$3:$AE$170,7,FALSE))</f>
        <v>9.1549295774647887E-3</v>
      </c>
      <c r="M12" s="85"/>
      <c r="N12" s="85">
        <f>IF(OR(ISERROR(VLOOKUP($D$6&amp;$D$8&amp;$E12,'Comorb data'!$A$3:$AE$170,6,FALSE)),ISBLANK(VLOOKUP($D$6&amp;$D$8&amp;$E12,'Comorb data'!$A$3:$AE$170,6,FALSE))),"",VLOOKUP($D$6&amp;$D$8&amp;$E12,'Comorb data'!$A$3:$AE$170,6,FALSE))</f>
        <v>4.2253521126760559E-3</v>
      </c>
      <c r="O12" s="85"/>
      <c r="P12" s="85">
        <f>IF(OR(ISERROR(VLOOKUP($D$6&amp;$D$8&amp;$E12,'Comorb data'!$A$3:$AE$170,10,FALSE)),ISBLANK(VLOOKUP($D$6&amp;$D$8&amp;$E12,'Comorb data'!$A$3:$AE$170,10,FALSE))),"",VLOOKUP($D$6&amp;$D$8&amp;$E12,'Comorb data'!$A$3:$AE$170,10,FALSE))</f>
        <v>2.112676056338028E-3</v>
      </c>
      <c r="Q12" s="85"/>
      <c r="R12" s="85">
        <f>IF(OR(ISERROR(VLOOKUP($D$6&amp;$D$8&amp;$E12,'Comorb data'!$A$3:$AE$170,12,FALSE)),ISBLANK(VLOOKUP($D$6&amp;$D$8&amp;$E12,'Comorb data'!$A$3:$AE$170,12,FALSE))),"",VLOOKUP($D$6&amp;$D$8&amp;$E12,'Comorb data'!$A$3:$AE$170,12,FALSE))</f>
        <v>0.12253521126760564</v>
      </c>
      <c r="S12" s="85"/>
      <c r="T12" s="85">
        <f>IF(OR(ISERROR(VLOOKUP($D$6&amp;$D$8&amp;$E12,'Comorb data'!$A$3:$AE$170,11,FALSE)),ISBLANK(VLOOKUP($D$6&amp;$D$8&amp;$E12,'Comorb data'!$A$3:$AE$170,11,FALSE))),"",VLOOKUP($D$6&amp;$D$8&amp;$E12,'Comorb data'!$A$3:$AE$170,11,FALSE))</f>
        <v>3.6619718309859155E-2</v>
      </c>
      <c r="U12" s="85"/>
      <c r="V12" s="86">
        <f>SUM(F12,N12,L12,H12,J12,P12,T12,R12)</f>
        <v>1</v>
      </c>
      <c r="W12" s="83">
        <f>IF(OR(ISERROR(VLOOKUP($D$6&amp;$D$8&amp;$E12,'Comorb data'!$A$3:$AE$170,14,FALSE)),ISBLANK(VLOOKUP($D$6&amp;$D$8&amp;$E12,'Comorb data'!$A$3:$AE$170,14,FALSE))),"",VLOOKUP($D$6&amp;$D$8&amp;$E12,'Comorb data'!$A$3:$AE$170,14,FALSE))</f>
        <v>1420</v>
      </c>
      <c r="Y12" s="25"/>
      <c r="Z12" s="25">
        <v>0</v>
      </c>
      <c r="AA12" s="33"/>
      <c r="AB12" s="25" t="s">
        <v>4</v>
      </c>
      <c r="AC12" s="20">
        <f>IF(OR(ISERROR(VLOOKUP($Y$7&amp;$AB12&amp;$Z12,'Comorb data'!$A$3:$AE$170,5,FALSE)),ISBLANK(VLOOKUP($Y$7&amp;$AB12&amp;$Z12,'Comorb data'!$A$3:$AE$170,5,FALSE))),"",VLOOKUP($Y$7&amp;$AB12&amp;$Z12,'Comorb data'!$A$3:$AE$170,5,FALSE))</f>
        <v>0.25749833370362141</v>
      </c>
      <c r="AD12" s="20">
        <f>IF(OR(ISERROR(VLOOKUP($Y$7&amp;$AB12&amp;$Z12,'Comorb data'!$A$3:$AE$170,6,FALSE)),ISBLANK(VLOOKUP($Y$7&amp;$AB12&amp;$Z12,'Comorb data'!$A$3:$AE$170,6,FALSE))),"",VLOOKUP($Y$7&amp;$AB12&amp;$Z12,'Comorb data'!$A$3:$AE$170,6,FALSE))</f>
        <v>2.4216840702066207E-2</v>
      </c>
      <c r="AE12" s="20">
        <f>IF(OR(ISERROR(VLOOKUP($Y$7&amp;$AB12&amp;$Z12,'Comorb data'!$A$3:$AE$170,7,FALSE)),ISBLANK(VLOOKUP($Y$7&amp;$AB12&amp;$Z12,'Comorb data'!$A$3:$AE$170,7,FALSE))),"",VLOOKUP($Y$7&amp;$AB12&amp;$Z12,'Comorb data'!$A$3:$AE$170,7,FALSE))</f>
        <v>5.2654965563208173E-2</v>
      </c>
      <c r="AF12" s="20">
        <f>IF(OR(ISERROR(VLOOKUP($Y$7&amp;$AB12&amp;$Z12,'Comorb data'!$A$3:$AE$170,8,FALSE)),ISBLANK(VLOOKUP($Y$7&amp;$AB12&amp;$Z12,'Comorb data'!$A$3:$AE$170,8,FALSE))),"",VLOOKUP($Y$7&amp;$AB12&amp;$Z12,'Comorb data'!$A$3:$AE$170,8,FALSE))</f>
        <v>5.9542323928015999E-2</v>
      </c>
      <c r="AG12" s="20">
        <f>IF(OR(ISERROR(VLOOKUP($Y$7&amp;$AB12&amp;$Z12,'Comorb data'!$A$3:$AE$170,9,FALSE)),ISBLANK(VLOOKUP($Y$7&amp;$AB12&amp;$Z12,'Comorb data'!$A$3:$AE$170,9,FALSE))),"",VLOOKUP($Y$7&amp;$AB12&amp;$Z12,'Comorb data'!$A$3:$AE$170,9,FALSE))</f>
        <v>0.25261053099311265</v>
      </c>
      <c r="AH12" s="20">
        <f>IF(OR(ISERROR(VLOOKUP($Y$7&amp;$AB12&amp;$Z12,'Comorb data'!$A$3:$AE$170,10,FALSE)),ISBLANK(VLOOKUP($Y$7&amp;$AB12&amp;$Z12,'Comorb data'!$A$3:$AE$170,10,FALSE))),"",VLOOKUP($Y$7&amp;$AB12&amp;$Z12,'Comorb data'!$A$3:$AE$170,10,FALSE))</f>
        <v>3.0659853365918685E-2</v>
      </c>
      <c r="AI12" s="20">
        <f>IF(OR(ISERROR(VLOOKUP($Y$7&amp;$AB12&amp;$Z12,'Comorb data'!$A$3:$AE$170,11,FALSE)),ISBLANK(VLOOKUP($Y$7&amp;$AB12&amp;$Z12,'Comorb data'!$A$3:$AE$170,11,FALSE))),"",VLOOKUP($Y$7&amp;$AB12&amp;$Z12,'Comorb data'!$A$3:$AE$170,11,FALSE))</f>
        <v>0.17751610753165964</v>
      </c>
      <c r="AJ12" s="20">
        <f>IF(OR(ISERROR(VLOOKUP($Y$7&amp;$AB12&amp;$Z12,'Comorb data'!$A$3:$AE$170,12,FALSE)),ISBLANK(VLOOKUP($Y$7&amp;$AB12&amp;$Z12,'Comorb data'!$A$3:$AE$170,12,FALSE))),"",VLOOKUP($Y$7&amp;$AB12&amp;$Z12,'Comorb data'!$A$3:$AE$170,12,FALSE))</f>
        <v>0.14530104421239726</v>
      </c>
    </row>
    <row r="13" spans="1:50" ht="15.75" customHeight="1" thickBot="1" x14ac:dyDescent="0.3">
      <c r="B13" s="55"/>
      <c r="D13" s="127"/>
      <c r="E13" s="9" t="s">
        <v>6</v>
      </c>
      <c r="F13" s="10">
        <f>IF(F12="","",VLOOKUP($D$6&amp;$D$8&amp;$E12,'Comorb data'!$A$3:$AE$170,16,FALSE))</f>
        <v>0.16300000000000001</v>
      </c>
      <c r="G13" s="10">
        <f>IF(F12="","",VLOOKUP($D$6&amp;$D$8&amp;$E12,'Comorb data'!$A$3:$AE$170,17,FALSE))</f>
        <v>0.20300000000000001</v>
      </c>
      <c r="H13" s="10">
        <f>IF(H12="","",VLOOKUP($D$6&amp;$D$8&amp;$E12,'Comorb data'!$A$3:$AE$170,22,FALSE))</f>
        <v>0.03</v>
      </c>
      <c r="I13" s="10">
        <f>IF(H12="","",VLOOKUP($D$6&amp;$D$8&amp;$E12,'Comorb data'!$A$3:$AE$170,23,FALSE))</f>
        <v>0.05</v>
      </c>
      <c r="J13" s="10">
        <f>IF(J12="","",VLOOKUP($D$6&amp;$D$8&amp;$E12,'Comorb data'!$A$3:$AE$170,24,FALSE))</f>
        <v>0.57899999999999996</v>
      </c>
      <c r="K13" s="10">
        <f>IF(J12="","",VLOOKUP($D$6&amp;$D$8&amp;$E12,'Comorb data'!$A$3:$AE$170,25,FALSE))</f>
        <v>0.63</v>
      </c>
      <c r="L13" s="10">
        <f>IF(L12="","",VLOOKUP($D$6&amp;$D$8&amp;$E12,'Comorb data'!$A$3:$AE$170,20,FALSE))</f>
        <v>5.0000000000000001E-3</v>
      </c>
      <c r="M13" s="10">
        <f>IF(L12="","",VLOOKUP($D$6&amp;$D$8&amp;$E12,'Comorb data'!$A$3:$AE$170,21,FALSE))</f>
        <v>1.6E-2</v>
      </c>
      <c r="N13" s="10">
        <f>IF(N12="","",VLOOKUP($D$6&amp;$D$8&amp;$E12,'Comorb data'!$A$3:$AE$170,18,FALSE))</f>
        <v>2E-3</v>
      </c>
      <c r="O13" s="10">
        <f>IF(N12="","",VLOOKUP($D$6&amp;$D$8&amp;$E12,'Comorb data'!$A$3:$AE$170,19,FALSE))</f>
        <v>8.9999999999999993E-3</v>
      </c>
      <c r="P13" s="10">
        <f>IF(P12="","",VLOOKUP($D$6&amp;$D$8&amp;$E12,'Comorb data'!$A$3:$AE$170,26,FALSE))</f>
        <v>1E-3</v>
      </c>
      <c r="Q13" s="10">
        <f>IF(P12="","",VLOOKUP($D$6&amp;$D$8&amp;$E12,'Comorb data'!$A$3:$AE$170,27,FALSE))</f>
        <v>6.0000000000000001E-3</v>
      </c>
      <c r="R13" s="10">
        <f>IF(R12="","",VLOOKUP($D$6&amp;$D$8&amp;$E12,'Comorb data'!$A$3:$AE$170,30,FALSE))</f>
        <v>0.106</v>
      </c>
      <c r="S13" s="10">
        <f>IF(R12="","",VLOOKUP($D$6&amp;$D$8&amp;$E12,'Comorb data'!$A$3:$AE$170,31,FALSE))</f>
        <v>0.14099999999999999</v>
      </c>
      <c r="T13" s="10">
        <f>IF(T12="","",VLOOKUP($D$6&amp;$D$8&amp;$E12,'Comorb data'!$A$3:$AE$170,28,FALSE))</f>
        <v>2.8000000000000001E-2</v>
      </c>
      <c r="U13" s="10">
        <f>IF(T12="","",VLOOKUP($D$6&amp;$D$8&amp;$E12,'Comorb data'!$A$3:$AE$170,29,FALSE))</f>
        <v>4.8000000000000001E-2</v>
      </c>
      <c r="V13" s="87"/>
      <c r="W13" s="84"/>
      <c r="Y13" s="25"/>
      <c r="Z13" s="25">
        <v>0</v>
      </c>
      <c r="AA13" s="33"/>
      <c r="AB13" s="25" t="s">
        <v>34</v>
      </c>
      <c r="AC13" s="20">
        <f>IF(OR(ISERROR(VLOOKUP($Y$7&amp;$AB13&amp;$Z13,'Comorb data'!$A$3:$AE$170,5,FALSE)),ISBLANK(VLOOKUP($Y$7&amp;$AB13&amp;$Z13,'Comorb data'!$A$3:$AE$170,5,FALSE))),"",VLOOKUP($Y$7&amp;$AB13&amp;$Z13,'Comorb data'!$A$3:$AE$170,5,FALSE))</f>
        <v>0.15223768746401514</v>
      </c>
      <c r="AD13" s="20">
        <f>IF(OR(ISERROR(VLOOKUP($Y$7&amp;$AB13&amp;$Z13,'Comorb data'!$A$3:$AE$170,6,FALSE)),ISBLANK(VLOOKUP($Y$7&amp;$AB13&amp;$Z13,'Comorb data'!$A$3:$AE$170,6,FALSE))),"",VLOOKUP($Y$7&amp;$AB13&amp;$Z13,'Comorb data'!$A$3:$AE$170,6,FALSE))</f>
        <v>1.6696977728224014E-2</v>
      </c>
      <c r="AE13" s="20">
        <f>IF(OR(ISERROR(VLOOKUP($Y$7&amp;$AB13&amp;$Z13,'Comorb data'!$A$3:$AE$170,7,FALSE)),ISBLANK(VLOOKUP($Y$7&amp;$AB13&amp;$Z13,'Comorb data'!$A$3:$AE$170,7,FALSE))),"",VLOOKUP($Y$7&amp;$AB13&amp;$Z13,'Comorb data'!$A$3:$AE$170,7,FALSE))</f>
        <v>1.8086107785525631E-2</v>
      </c>
      <c r="AF13" s="20">
        <f>IF(OR(ISERROR(VLOOKUP($Y$7&amp;$AB13&amp;$Z13,'Comorb data'!$A$3:$AE$170,8,FALSE)),ISBLANK(VLOOKUP($Y$7&amp;$AB13&amp;$Z13,'Comorb data'!$A$3:$AE$170,8,FALSE))),"",VLOOKUP($Y$7&amp;$AB13&amp;$Z13,'Comorb data'!$A$3:$AE$170,8,FALSE))</f>
        <v>6.2593103700386579E-2</v>
      </c>
      <c r="AG13" s="20">
        <f>IF(OR(ISERROR(VLOOKUP($Y$7&amp;$AB13&amp;$Z13,'Comorb data'!$A$3:$AE$170,9,FALSE)),ISBLANK(VLOOKUP($Y$7&amp;$AB13&amp;$Z13,'Comorb data'!$A$3:$AE$170,9,FALSE))),"",VLOOKUP($Y$7&amp;$AB13&amp;$Z13,'Comorb data'!$A$3:$AE$170,9,FALSE))</f>
        <v>0.35309492693358679</v>
      </c>
      <c r="AH13" s="20">
        <f>IF(OR(ISERROR(VLOOKUP($Y$7&amp;$AB13&amp;$Z13,'Comorb data'!$A$3:$AE$170,10,FALSE)),ISBLANK(VLOOKUP($Y$7&amp;$AB13&amp;$Z13,'Comorb data'!$A$3:$AE$170,10,FALSE))),"",VLOOKUP($Y$7&amp;$AB13&amp;$Z13,'Comorb data'!$A$3:$AE$170,10,FALSE))</f>
        <v>1.4092358870783488E-2</v>
      </c>
      <c r="AI13" s="20">
        <f>IF(OR(ISERROR(VLOOKUP($Y$7&amp;$AB13&amp;$Z13,'Comorb data'!$A$3:$AE$170,11,FALSE)),ISBLANK(VLOOKUP($Y$7&amp;$AB13&amp;$Z13,'Comorb data'!$A$3:$AE$170,11,FALSE))),"",VLOOKUP($Y$7&amp;$AB13&amp;$Z13,'Comorb data'!$A$3:$AE$170,11,FALSE))</f>
        <v>0.10194569598157575</v>
      </c>
      <c r="AJ13" s="20">
        <f>IF(OR(ISERROR(VLOOKUP($Y$7&amp;$AB13&amp;$Z13,'Comorb data'!$A$3:$AE$170,12,FALSE)),ISBLANK(VLOOKUP($Y$7&amp;$AB13&amp;$Z13,'Comorb data'!$A$3:$AE$170,12,FALSE))),"",VLOOKUP($Y$7&amp;$AB13&amp;$Z13,'Comorb data'!$A$3:$AE$170,12,FALSE))</f>
        <v>0.28125314153590264</v>
      </c>
    </row>
    <row r="14" spans="1:50" ht="15.75" x14ac:dyDescent="0.25">
      <c r="D14" s="127"/>
      <c r="E14" s="15" t="s">
        <v>40</v>
      </c>
      <c r="F14" s="85">
        <f>IF(OR(ISERROR(VLOOKUP($D$6&amp;$D$8&amp;$E14,'Comorb data'!$A$3:$AE$170,5,FALSE)),ISBLANK(VLOOKUP($D$6&amp;$D$8&amp;$E14,'Comorb data'!$A$3:$AE$170,5,FALSE))),"",VLOOKUP($D$6&amp;$D$8&amp;$E14,'Comorb data'!$A$3:$AE$170,5,FALSE))</f>
        <v>0.23299565846599132</v>
      </c>
      <c r="G14" s="85"/>
      <c r="H14" s="85">
        <f>IF(OR(ISERROR(VLOOKUP($D$6&amp;$D$8&amp;$E14,'Comorb data'!$A$3:$AE$170,8,FALSE)),ISBLANK(VLOOKUP($D$6&amp;$D$8&amp;$E14,'Comorb data'!$A$3:$AE$170,8,FALSE))),"",VLOOKUP($D$6&amp;$D$8&amp;$E14,'Comorb data'!$A$3:$AE$170,8,FALSE))</f>
        <v>2.4602026049204053E-2</v>
      </c>
      <c r="I14" s="85"/>
      <c r="J14" s="85">
        <f>IF(OR(ISERROR(VLOOKUP($D$6&amp;$D$8&amp;$E14,'Comorb data'!$A$3:$AE$170,9,FALSE)),ISBLANK(VLOOKUP($D$6&amp;$D$8&amp;$E14,'Comorb data'!$A$3:$AE$170,9,FALSE))),"",VLOOKUP($D$6&amp;$D$8&amp;$E14,'Comorb data'!$A$3:$AE$170,9,FALSE))</f>
        <v>0.52966714905933432</v>
      </c>
      <c r="K14" s="85"/>
      <c r="L14" s="85">
        <f>IF(OR(ISERROR(VLOOKUP($D$6&amp;$D$8&amp;$E14,'Comorb data'!$A$3:$AE$170,7,FALSE)),ISBLANK(VLOOKUP($D$6&amp;$D$8&amp;$E14,'Comorb data'!$A$3:$AE$170,7,FALSE))),"",VLOOKUP($D$6&amp;$D$8&amp;$E14,'Comorb data'!$A$3:$AE$170,7,FALSE))</f>
        <v>5.7887120115774236E-3</v>
      </c>
      <c r="M14" s="85"/>
      <c r="N14" s="85">
        <f>IF(OR(ISERROR(VLOOKUP($D$6&amp;$D$8&amp;$E14,'Comorb data'!$A$3:$AE$170,6,FALSE)),ISBLANK(VLOOKUP($D$6&amp;$D$8&amp;$E14,'Comorb data'!$A$3:$AE$170,6,FALSE))),"",VLOOKUP($D$6&amp;$D$8&amp;$E14,'Comorb data'!$A$3:$AE$170,6,FALSE))</f>
        <v>1.3024602026049204E-2</v>
      </c>
      <c r="O14" s="85"/>
      <c r="P14" s="85">
        <f>IF(OR(ISERROR(VLOOKUP($D$6&amp;$D$8&amp;$E14,'Comorb data'!$A$3:$AE$170,10,FALSE)),ISBLANK(VLOOKUP($D$6&amp;$D$8&amp;$E14,'Comorb data'!$A$3:$AE$170,10,FALSE))),"",VLOOKUP($D$6&amp;$D$8&amp;$E14,'Comorb data'!$A$3:$AE$170,10,FALSE))</f>
        <v>1.4471780028943559E-3</v>
      </c>
      <c r="Q14" s="85"/>
      <c r="R14" s="85">
        <f>IF(OR(ISERROR(VLOOKUP($D$6&amp;$D$8&amp;$E14,'Comorb data'!$A$3:$AE$170,12,FALSE)),ISBLANK(VLOOKUP($D$6&amp;$D$8&amp;$E14,'Comorb data'!$A$3:$AE$170,12,FALSE))),"",VLOOKUP($D$6&amp;$D$8&amp;$E14,'Comorb data'!$A$3:$AE$170,12,FALSE))</f>
        <v>0.10130246020260492</v>
      </c>
      <c r="S14" s="85"/>
      <c r="T14" s="85">
        <f>IF(OR(ISERROR(VLOOKUP($D$6&amp;$D$8&amp;$E14,'Comorb data'!$A$3:$AE$170,11,FALSE)),ISBLANK(VLOOKUP($D$6&amp;$D$8&amp;$E14,'Comorb data'!$A$3:$AE$170,11,FALSE))),"",VLOOKUP($D$6&amp;$D$8&amp;$E14,'Comorb data'!$A$3:$AE$170,11,FALSE))</f>
        <v>9.1172214182344433E-2</v>
      </c>
      <c r="U14" s="85"/>
      <c r="V14" s="86">
        <f>SUM(F14,N14,L14,H14,J14,P14,T14,R14)</f>
        <v>1</v>
      </c>
      <c r="W14" s="83">
        <f>IF(OR(ISERROR(VLOOKUP($D$6&amp;$D$8&amp;$E14,'Comorb data'!$A$3:$AE$170,14,FALSE)),ISBLANK(VLOOKUP($D$6&amp;$D$8&amp;$E14,'Comorb data'!$A$3:$AE$170,14,FALSE))),"",VLOOKUP($D$6&amp;$D$8&amp;$E14,'Comorb data'!$A$3:$AE$170,14,FALSE))</f>
        <v>691</v>
      </c>
      <c r="Y14" s="25"/>
      <c r="Z14" s="25"/>
      <c r="AA14" s="33"/>
      <c r="AB14" s="25"/>
      <c r="AC14" s="20"/>
      <c r="AD14" s="20"/>
      <c r="AE14" s="20"/>
      <c r="AF14" s="20"/>
      <c r="AG14" s="20"/>
      <c r="AH14" s="20"/>
      <c r="AI14" s="20"/>
      <c r="AJ14" s="20"/>
    </row>
    <row r="15" spans="1:50" ht="15.75" customHeight="1" thickBot="1" x14ac:dyDescent="0.3">
      <c r="D15" s="128"/>
      <c r="E15" s="9" t="s">
        <v>6</v>
      </c>
      <c r="F15" s="10">
        <f>IF(F14="","",VLOOKUP($D$6&amp;$D$8&amp;$E14,'Comorb data'!$A$3:$AE$170,16,FALSE))</f>
        <v>0.20300000000000001</v>
      </c>
      <c r="G15" s="10">
        <f>IF(F14="","",VLOOKUP($D$6&amp;$D$8&amp;$E14,'Comorb data'!$A$3:$AE$170,17,FALSE))</f>
        <v>0.26600000000000001</v>
      </c>
      <c r="H15" s="10">
        <f>IF(H14="","",VLOOKUP($D$6&amp;$D$8&amp;$E14,'Comorb data'!$A$3:$AE$170,22,FALSE))</f>
        <v>1.4999999999999999E-2</v>
      </c>
      <c r="I15" s="10">
        <f>IF(H14="","",VLOOKUP($D$6&amp;$D$8&amp;$E14,'Comorb data'!$A$3:$AE$170,23,FALSE))</f>
        <v>3.9E-2</v>
      </c>
      <c r="J15" s="10">
        <f>IF(J14="","",VLOOKUP($D$6&amp;$D$8&amp;$E14,'Comorb data'!$A$3:$AE$170,24,FALSE))</f>
        <v>0.49199999999999999</v>
      </c>
      <c r="K15" s="10">
        <f>IF(J14="","",VLOOKUP($D$6&amp;$D$8&amp;$E14,'Comorb data'!$A$3:$AE$170,25,FALSE))</f>
        <v>0.56699999999999995</v>
      </c>
      <c r="L15" s="10">
        <f>IF(L14="","",VLOOKUP($D$6&amp;$D$8&amp;$E14,'Comorb data'!$A$3:$AE$170,20,FALSE))</f>
        <v>2E-3</v>
      </c>
      <c r="M15" s="10">
        <f>IF(L14="","",VLOOKUP($D$6&amp;$D$8&amp;$E14,'Comorb data'!$A$3:$AE$170,21,FALSE))</f>
        <v>1.4999999999999999E-2</v>
      </c>
      <c r="N15" s="10">
        <f>IF(N14="","",VLOOKUP($D$6&amp;$D$8&amp;$E14,'Comorb data'!$A$3:$AE$170,18,FALSE))</f>
        <v>7.0000000000000001E-3</v>
      </c>
      <c r="O15" s="10">
        <f>IF(N14="","",VLOOKUP($D$6&amp;$D$8&amp;$E14,'Comorb data'!$A$3:$AE$170,19,FALSE))</f>
        <v>2.5000000000000001E-2</v>
      </c>
      <c r="P15" s="10">
        <f>IF(P14="","",VLOOKUP($D$6&amp;$D$8&amp;$E14,'Comorb data'!$A$3:$AE$170,26,FALSE))</f>
        <v>0</v>
      </c>
      <c r="Q15" s="10">
        <f>IF(P14="","",VLOOKUP($D$6&amp;$D$8&amp;$E14,'Comorb data'!$A$3:$AE$170,27,FALSE))</f>
        <v>8.0000000000000002E-3</v>
      </c>
      <c r="R15" s="10">
        <f>IF(R14="","",VLOOKUP($D$6&amp;$D$8&amp;$E14,'Comorb data'!$A$3:$AE$170,30,FALSE))</f>
        <v>8.1000000000000003E-2</v>
      </c>
      <c r="S15" s="10">
        <f>IF(R14="","",VLOOKUP($D$6&amp;$D$8&amp;$E14,'Comorb data'!$A$3:$AE$170,31,FALSE))</f>
        <v>0.126</v>
      </c>
      <c r="T15" s="10">
        <f>IF(T14="","",VLOOKUP($D$6&amp;$D$8&amp;$E14,'Comorb data'!$A$3:$AE$170,28,FALSE))</f>
        <v>7.1999999999999995E-2</v>
      </c>
      <c r="U15" s="10">
        <f>IF(T14="","",VLOOKUP($D$6&amp;$D$8&amp;$E14,'Comorb data'!$A$3:$AE$170,29,FALSE))</f>
        <v>0.115</v>
      </c>
      <c r="V15" s="87"/>
      <c r="W15" s="84"/>
      <c r="Y15" s="25"/>
      <c r="Z15" s="25">
        <v>1</v>
      </c>
      <c r="AA15" s="25">
        <v>1</v>
      </c>
      <c r="AB15" s="25" t="s">
        <v>0</v>
      </c>
      <c r="AC15" s="20">
        <f>IF(OR(ISERROR(VLOOKUP($Y$7&amp;$AB15&amp;$Z15,'Comorb data'!$A$3:$AE$170,5,FALSE)),ISBLANK(VLOOKUP($Y$7&amp;$AB15&amp;$Z15,'Comorb data'!$A$3:$AE$170,5,FALSE))),"",VLOOKUP($Y$7&amp;$AB15&amp;$Z15,'Comorb data'!$A$3:$AE$170,5,FALSE))</f>
        <v>0.16028253192067374</v>
      </c>
      <c r="AD15" s="20">
        <f>IF(OR(ISERROR(VLOOKUP($Y$7&amp;$AB15&amp;$Z15,'Comorb data'!$A$3:$AE$170,6,FALSE)),ISBLANK(VLOOKUP($Y$7&amp;$AB15&amp;$Z15,'Comorb data'!$A$3:$AE$170,6,FALSE))),"",VLOOKUP($Y$7&amp;$AB15&amp;$Z15,'Comorb data'!$A$3:$AE$170,6,FALSE))</f>
        <v>2.9883183917413748E-3</v>
      </c>
      <c r="AE15" s="20">
        <f>IF(OR(ISERROR(VLOOKUP($Y$7&amp;$AB15&amp;$Z15,'Comorb data'!$A$3:$AE$170,7,FALSE)),ISBLANK(VLOOKUP($Y$7&amp;$AB15&amp;$Z15,'Comorb data'!$A$3:$AE$170,7,FALSE))),"",VLOOKUP($Y$7&amp;$AB15&amp;$Z15,'Comorb data'!$A$3:$AE$170,7,FALSE))</f>
        <v>4.6183102417821243E-3</v>
      </c>
      <c r="AF15" s="20">
        <f>IF(OR(ISERROR(VLOOKUP($Y$7&amp;$AB15&amp;$Z15,'Comorb data'!$A$3:$AE$170,8,FALSE)),ISBLANK(VLOOKUP($Y$7&amp;$AB15&amp;$Z15,'Comorb data'!$A$3:$AE$170,8,FALSE))),"",VLOOKUP($Y$7&amp;$AB15&amp;$Z15,'Comorb data'!$A$3:$AE$170,8,FALSE))</f>
        <v>4.2379788101059496E-2</v>
      </c>
      <c r="AG15" s="20">
        <f>IF(OR(ISERROR(VLOOKUP($Y$7&amp;$AB15&amp;$Z15,'Comorb data'!$A$3:$AE$170,9,FALSE)),ISBLANK(VLOOKUP($Y$7&amp;$AB15&amp;$Z15,'Comorb data'!$A$3:$AE$170,9,FALSE))),"",VLOOKUP($Y$7&amp;$AB15&amp;$Z15,'Comorb data'!$A$3:$AE$170,9,FALSE))</f>
        <v>0.58571040478130942</v>
      </c>
      <c r="AH15" s="20">
        <f>IF(OR(ISERROR(VLOOKUP($Y$7&amp;$AB15&amp;$Z15,'Comorb data'!$A$3:$AE$170,10,FALSE)),ISBLANK(VLOOKUP($Y$7&amp;$AB15&amp;$Z15,'Comorb data'!$A$3:$AE$170,10,FALSE))),"",VLOOKUP($Y$7&amp;$AB15&amp;$Z15,'Comorb data'!$A$3:$AE$170,10,FALSE))</f>
        <v>2.1733224667209996E-3</v>
      </c>
      <c r="AI15" s="20">
        <f>IF(OR(ISERROR(VLOOKUP($Y$7&amp;$AB15&amp;$Z15,'Comorb data'!$A$3:$AE$170,11,FALSE)),ISBLANK(VLOOKUP($Y$7&amp;$AB15&amp;$Z15,'Comorb data'!$A$3:$AE$170,11,FALSE))),"",VLOOKUP($Y$7&amp;$AB15&amp;$Z15,'Comorb data'!$A$3:$AE$170,11,FALSE))</f>
        <v>2.5536538983971745E-2</v>
      </c>
      <c r="AJ15" s="20">
        <f>IF(OR(ISERROR(VLOOKUP($Y$7&amp;$AB15&amp;$Z15,'Comorb data'!$A$3:$AE$170,12,FALSE)),ISBLANK(VLOOKUP($Y$7&amp;$AB15&amp;$Z15,'Comorb data'!$A$3:$AE$170,12,FALSE))),"",VLOOKUP($Y$7&amp;$AB15&amp;$Z15,'Comorb data'!$A$3:$AE$170,12,FALSE))</f>
        <v>0.17631078511274109</v>
      </c>
    </row>
    <row r="16" spans="1:50" ht="15.75" x14ac:dyDescent="0.25">
      <c r="B16" s="55" t="s">
        <v>72</v>
      </c>
      <c r="Y16" s="25"/>
      <c r="Z16" s="25">
        <v>1</v>
      </c>
      <c r="AA16" s="33"/>
      <c r="AB16" s="25" t="s">
        <v>1</v>
      </c>
      <c r="AC16" s="20">
        <f>IF(OR(ISERROR(VLOOKUP($Y$7&amp;$AB16&amp;$Z16,'Comorb data'!$A$3:$AE$170,5,FALSE)),ISBLANK(VLOOKUP($Y$7&amp;$AB16&amp;$Z16,'Comorb data'!$A$3:$AE$170,5,FALSE))),"",VLOOKUP($Y$7&amp;$AB16&amp;$Z16,'Comorb data'!$A$3:$AE$170,5,FALSE))</f>
        <v>0.1889763779527559</v>
      </c>
      <c r="AD16" s="20">
        <f>IF(OR(ISERROR(VLOOKUP($Y$7&amp;$AB16&amp;$Z16,'Comorb data'!$A$3:$AE$170,6,FALSE)),ISBLANK(VLOOKUP($Y$7&amp;$AB16&amp;$Z16,'Comorb data'!$A$3:$AE$170,6,FALSE))),"",VLOOKUP($Y$7&amp;$AB16&amp;$Z16,'Comorb data'!$A$3:$AE$170,6,FALSE))</f>
        <v>1.4435695538057743E-2</v>
      </c>
      <c r="AE16" s="20">
        <f>IF(OR(ISERROR(VLOOKUP($Y$7&amp;$AB16&amp;$Z16,'Comorb data'!$A$3:$AE$170,7,FALSE)),ISBLANK(VLOOKUP($Y$7&amp;$AB16&amp;$Z16,'Comorb data'!$A$3:$AE$170,7,FALSE))),"",VLOOKUP($Y$7&amp;$AB16&amp;$Z16,'Comorb data'!$A$3:$AE$170,7,FALSE))</f>
        <v>1.395848246241947E-2</v>
      </c>
      <c r="AF16" s="20">
        <f>IF(OR(ISERROR(VLOOKUP($Y$7&amp;$AB16&amp;$Z16,'Comorb data'!$A$3:$AE$170,8,FALSE)),ISBLANK(VLOOKUP($Y$7&amp;$AB16&amp;$Z16,'Comorb data'!$A$3:$AE$170,8,FALSE))),"",VLOOKUP($Y$7&amp;$AB16&amp;$Z16,'Comorb data'!$A$3:$AE$170,8,FALSE))</f>
        <v>5.4044380816034361E-2</v>
      </c>
      <c r="AG16" s="20">
        <f>IF(OR(ISERROR(VLOOKUP($Y$7&amp;$AB16&amp;$Z16,'Comorb data'!$A$3:$AE$170,9,FALSE)),ISBLANK(VLOOKUP($Y$7&amp;$AB16&amp;$Z16,'Comorb data'!$A$3:$AE$170,9,FALSE))),"",VLOOKUP($Y$7&amp;$AB16&amp;$Z16,'Comorb data'!$A$3:$AE$170,9,FALSE))</f>
        <v>0.27487473156764497</v>
      </c>
      <c r="AH16" s="20">
        <f>IF(OR(ISERROR(VLOOKUP($Y$7&amp;$AB16&amp;$Z16,'Comorb data'!$A$3:$AE$170,10,FALSE)),ISBLANK(VLOOKUP($Y$7&amp;$AB16&amp;$Z16,'Comorb data'!$A$3:$AE$170,10,FALSE))),"",VLOOKUP($Y$7&amp;$AB16&amp;$Z16,'Comorb data'!$A$3:$AE$170,10,FALSE))</f>
        <v>9.54426151276545E-3</v>
      </c>
      <c r="AI16" s="20">
        <f>IF(OR(ISERROR(VLOOKUP($Y$7&amp;$AB16&amp;$Z16,'Comorb data'!$A$3:$AE$170,11,FALSE)),ISBLANK(VLOOKUP($Y$7&amp;$AB16&amp;$Z16,'Comorb data'!$A$3:$AE$170,11,FALSE))),"",VLOOKUP($Y$7&amp;$AB16&amp;$Z16,'Comorb data'!$A$3:$AE$170,11,FALSE))</f>
        <v>0.23622047244094488</v>
      </c>
      <c r="AJ16" s="20">
        <f>IF(OR(ISERROR(VLOOKUP($Y$7&amp;$AB16&amp;$Z16,'Comorb data'!$A$3:$AE$170,12,FALSE)),ISBLANK(VLOOKUP($Y$7&amp;$AB16&amp;$Z16,'Comorb data'!$A$3:$AE$170,12,FALSE))),"",VLOOKUP($Y$7&amp;$AB16&amp;$Z16,'Comorb data'!$A$3:$AE$170,12,FALSE))</f>
        <v>0.20794559770937723</v>
      </c>
    </row>
    <row r="17" spans="1:36" x14ac:dyDescent="0.25">
      <c r="D17" s="109" t="s">
        <v>13</v>
      </c>
      <c r="E17" s="110"/>
      <c r="F17" s="110"/>
      <c r="G17" s="110"/>
      <c r="H17" s="110"/>
      <c r="I17" s="110"/>
      <c r="J17" s="110"/>
      <c r="K17" s="110"/>
      <c r="L17" s="110"/>
      <c r="M17" s="110"/>
      <c r="N17" s="110"/>
      <c r="O17" s="110"/>
      <c r="P17" s="110"/>
      <c r="Q17" s="110"/>
      <c r="R17" s="110"/>
      <c r="S17" s="110"/>
      <c r="T17" s="110"/>
      <c r="U17" s="110"/>
      <c r="V17" s="110"/>
      <c r="W17" s="110"/>
      <c r="Y17" s="25"/>
      <c r="Z17" s="25">
        <v>1</v>
      </c>
      <c r="AA17" s="33"/>
      <c r="AB17" s="25" t="s">
        <v>2</v>
      </c>
      <c r="AC17" s="20">
        <f>IF(OR(ISERROR(VLOOKUP($Y$7&amp;$AB17&amp;$Z17,'Comorb data'!$A$3:$AE$170,5,FALSE)),ISBLANK(VLOOKUP($Y$7&amp;$AB17&amp;$Z17,'Comorb data'!$A$3:$AE$170,5,FALSE))),"",VLOOKUP($Y$7&amp;$AB17&amp;$Z17,'Comorb data'!$A$3:$AE$170,5,FALSE))</f>
        <v>0.23457730388423459</v>
      </c>
      <c r="AD17" s="20">
        <f>IF(OR(ISERROR(VLOOKUP($Y$7&amp;$AB17&amp;$Z17,'Comorb data'!$A$3:$AE$170,6,FALSE)),ISBLANK(VLOOKUP($Y$7&amp;$AB17&amp;$Z17,'Comorb data'!$A$3:$AE$170,6,FALSE))),"",VLOOKUP($Y$7&amp;$AB17&amp;$Z17,'Comorb data'!$A$3:$AE$170,6,FALSE))</f>
        <v>2.1325209444021324E-2</v>
      </c>
      <c r="AE17" s="20">
        <f>IF(OR(ISERROR(VLOOKUP($Y$7&amp;$AB17&amp;$Z17,'Comorb data'!$A$3:$AE$170,7,FALSE)),ISBLANK(VLOOKUP($Y$7&amp;$AB17&amp;$Z17,'Comorb data'!$A$3:$AE$170,7,FALSE))),"",VLOOKUP($Y$7&amp;$AB17&amp;$Z17,'Comorb data'!$A$3:$AE$170,7,FALSE))</f>
        <v>5.4836252856054833E-2</v>
      </c>
      <c r="AF17" s="20">
        <f>IF(OR(ISERROR(VLOOKUP($Y$7&amp;$AB17&amp;$Z17,'Comorb data'!$A$3:$AE$170,8,FALSE)),ISBLANK(VLOOKUP($Y$7&amp;$AB17&amp;$Z17,'Comorb data'!$A$3:$AE$170,8,FALSE))),"",VLOOKUP($Y$7&amp;$AB17&amp;$Z17,'Comorb data'!$A$3:$AE$170,8,FALSE))</f>
        <v>5.4836252856054833E-2</v>
      </c>
      <c r="AG17" s="20">
        <f>IF(OR(ISERROR(VLOOKUP($Y$7&amp;$AB17&amp;$Z17,'Comorb data'!$A$3:$AE$170,9,FALSE)),ISBLANK(VLOOKUP($Y$7&amp;$AB17&amp;$Z17,'Comorb data'!$A$3:$AE$170,9,FALSE))),"",VLOOKUP($Y$7&amp;$AB17&amp;$Z17,'Comorb data'!$A$3:$AE$170,9,FALSE))</f>
        <v>0.20335110434120335</v>
      </c>
      <c r="AH17" s="20">
        <f>IF(OR(ISERROR(VLOOKUP($Y$7&amp;$AB17&amp;$Z17,'Comorb data'!$A$3:$AE$170,10,FALSE)),ISBLANK(VLOOKUP($Y$7&amp;$AB17&amp;$Z17,'Comorb data'!$A$3:$AE$170,10,FALSE))),"",VLOOKUP($Y$7&amp;$AB17&amp;$Z17,'Comorb data'!$A$3:$AE$170,10,FALSE))</f>
        <v>1.5232292460015232E-2</v>
      </c>
      <c r="AI17" s="20">
        <f>IF(OR(ISERROR(VLOOKUP($Y$7&amp;$AB17&amp;$Z17,'Comorb data'!$A$3:$AE$170,11,FALSE)),ISBLANK(VLOOKUP($Y$7&amp;$AB17&amp;$Z17,'Comorb data'!$A$3:$AE$170,11,FALSE))),"",VLOOKUP($Y$7&amp;$AB17&amp;$Z17,'Comorb data'!$A$3:$AE$170,11,FALSE))</f>
        <v>0.29322162985529321</v>
      </c>
      <c r="AJ17" s="20">
        <f>IF(OR(ISERROR(VLOOKUP($Y$7&amp;$AB17&amp;$Z17,'Comorb data'!$A$3:$AE$170,12,FALSE)),ISBLANK(VLOOKUP($Y$7&amp;$AB17&amp;$Z17,'Comorb data'!$A$3:$AE$170,12,FALSE))),"",VLOOKUP($Y$7&amp;$AB17&amp;$Z17,'Comorb data'!$A$3:$AE$170,12,FALSE))</f>
        <v>0.12261995430312261</v>
      </c>
    </row>
    <row r="18" spans="1:36" ht="36.75" customHeight="1" x14ac:dyDescent="0.25">
      <c r="D18" s="104" t="s">
        <v>14</v>
      </c>
      <c r="E18" s="105"/>
      <c r="F18" s="105"/>
      <c r="G18" s="105"/>
      <c r="H18" s="105"/>
      <c r="I18" s="105"/>
      <c r="J18" s="105"/>
      <c r="K18" s="105"/>
      <c r="L18" s="105"/>
      <c r="M18" s="105"/>
      <c r="N18" s="105"/>
      <c r="O18" s="105"/>
      <c r="P18" s="105"/>
      <c r="Q18" s="105"/>
      <c r="R18" s="105"/>
      <c r="S18" s="105"/>
      <c r="T18" s="105"/>
      <c r="U18" s="105"/>
      <c r="V18" s="105"/>
      <c r="W18" s="105"/>
      <c r="Y18" s="25"/>
      <c r="Z18" s="25">
        <v>1</v>
      </c>
      <c r="AA18" s="33"/>
      <c r="AB18" s="25" t="s">
        <v>32</v>
      </c>
      <c r="AC18" s="20">
        <f>IF(OR(ISERROR(VLOOKUP($Y$7&amp;$AB18&amp;$Z18,'Comorb data'!$A$3:$AE$170,5,FALSE)),ISBLANK(VLOOKUP($Y$7&amp;$AB18&amp;$Z18,'Comorb data'!$A$3:$AE$170,5,FALSE))),"",VLOOKUP($Y$7&amp;$AB18&amp;$Z18,'Comorb data'!$A$3:$AE$170,5,FALSE))</f>
        <v>0.19884726224783861</v>
      </c>
      <c r="AD18" s="20">
        <f>IF(OR(ISERROR(VLOOKUP($Y$7&amp;$AB18&amp;$Z18,'Comorb data'!$A$3:$AE$170,6,FALSE)),ISBLANK(VLOOKUP($Y$7&amp;$AB18&amp;$Z18,'Comorb data'!$A$3:$AE$170,6,FALSE))),"",VLOOKUP($Y$7&amp;$AB18&amp;$Z18,'Comorb data'!$A$3:$AE$170,6,FALSE))</f>
        <v>3.7463976945244955E-2</v>
      </c>
      <c r="AE18" s="20">
        <f>IF(OR(ISERROR(VLOOKUP($Y$7&amp;$AB18&amp;$Z18,'Comorb data'!$A$3:$AE$170,7,FALSE)),ISBLANK(VLOOKUP($Y$7&amp;$AB18&amp;$Z18,'Comorb data'!$A$3:$AE$170,7,FALSE))),"",VLOOKUP($Y$7&amp;$AB18&amp;$Z18,'Comorb data'!$A$3:$AE$170,7,FALSE))</f>
        <v>3.1700288184438041E-2</v>
      </c>
      <c r="AF18" s="20">
        <f>IF(OR(ISERROR(VLOOKUP($Y$7&amp;$AB18&amp;$Z18,'Comorb data'!$A$3:$AE$170,8,FALSE)),ISBLANK(VLOOKUP($Y$7&amp;$AB18&amp;$Z18,'Comorb data'!$A$3:$AE$170,8,FALSE))),"",VLOOKUP($Y$7&amp;$AB18&amp;$Z18,'Comorb data'!$A$3:$AE$170,8,FALSE))</f>
        <v>7.492795389048991E-2</v>
      </c>
      <c r="AG18" s="20">
        <f>IF(OR(ISERROR(VLOOKUP($Y$7&amp;$AB18&amp;$Z18,'Comorb data'!$A$3:$AE$170,9,FALSE)),ISBLANK(VLOOKUP($Y$7&amp;$AB18&amp;$Z18,'Comorb data'!$A$3:$AE$170,9,FALSE))),"",VLOOKUP($Y$7&amp;$AB18&amp;$Z18,'Comorb data'!$A$3:$AE$170,9,FALSE))</f>
        <v>0.26224783861671469</v>
      </c>
      <c r="AH18" s="20">
        <f>IF(OR(ISERROR(VLOOKUP($Y$7&amp;$AB18&amp;$Z18,'Comorb data'!$A$3:$AE$170,10,FALSE)),ISBLANK(VLOOKUP($Y$7&amp;$AB18&amp;$Z18,'Comorb data'!$A$3:$AE$170,10,FALSE))),"",VLOOKUP($Y$7&amp;$AB18&amp;$Z18,'Comorb data'!$A$3:$AE$170,10,FALSE))</f>
        <v>1.7291066282420751E-2</v>
      </c>
      <c r="AI18" s="20">
        <f>IF(OR(ISERROR(VLOOKUP($Y$7&amp;$AB18&amp;$Z18,'Comorb data'!$A$3:$AE$170,11,FALSE)),ISBLANK(VLOOKUP($Y$7&amp;$AB18&amp;$Z18,'Comorb data'!$A$3:$AE$170,11,FALSE))),"",VLOOKUP($Y$7&amp;$AB18&amp;$Z18,'Comorb data'!$A$3:$AE$170,11,FALSE))</f>
        <v>0.26224783861671469</v>
      </c>
      <c r="AJ18" s="20">
        <f>IF(OR(ISERROR(VLOOKUP($Y$7&amp;$AB18&amp;$Z18,'Comorb data'!$A$3:$AE$170,12,FALSE)),ISBLANK(VLOOKUP($Y$7&amp;$AB18&amp;$Z18,'Comorb data'!$A$3:$AE$170,12,FALSE))),"",VLOOKUP($Y$7&amp;$AB18&amp;$Z18,'Comorb data'!$A$3:$AE$170,12,FALSE))</f>
        <v>0.11527377521613832</v>
      </c>
    </row>
    <row r="19" spans="1:36" ht="30" customHeight="1" x14ac:dyDescent="0.25">
      <c r="D19" s="82" t="s">
        <v>95</v>
      </c>
      <c r="E19" s="82"/>
      <c r="F19" s="82"/>
      <c r="G19" s="82"/>
      <c r="H19" s="82"/>
      <c r="I19" s="82"/>
      <c r="J19" s="82"/>
      <c r="K19" s="82"/>
      <c r="L19" s="82"/>
      <c r="M19" s="82"/>
      <c r="N19" s="82"/>
      <c r="O19" s="82"/>
      <c r="P19" s="82"/>
      <c r="Q19" s="82"/>
      <c r="R19" s="82"/>
      <c r="S19" s="82"/>
      <c r="T19" s="82"/>
      <c r="U19" s="82"/>
      <c r="V19" s="82"/>
      <c r="W19" s="82"/>
      <c r="Y19" s="25"/>
      <c r="Z19" s="25">
        <v>1</v>
      </c>
      <c r="AA19" s="33"/>
      <c r="AB19" s="25" t="s">
        <v>3</v>
      </c>
      <c r="AC19" s="20">
        <f>IF(OR(ISERROR(VLOOKUP($Y$7&amp;$AB19&amp;$Z19,'Comorb data'!$A$3:$AE$170,5,FALSE)),ISBLANK(VLOOKUP($Y$7&amp;$AB19&amp;$Z19,'Comorb data'!$A$3:$AE$170,5,FALSE))),"",VLOOKUP($Y$7&amp;$AB19&amp;$Z19,'Comorb data'!$A$3:$AE$170,5,FALSE))</f>
        <v>6.8298969072164942E-2</v>
      </c>
      <c r="AD19" s="20">
        <f>IF(OR(ISERROR(VLOOKUP($Y$7&amp;$AB19&amp;$Z19,'Comorb data'!$A$3:$AE$170,6,FALSE)),ISBLANK(VLOOKUP($Y$7&amp;$AB19&amp;$Z19,'Comorb data'!$A$3:$AE$170,6,FALSE))),"",VLOOKUP($Y$7&amp;$AB19&amp;$Z19,'Comorb data'!$A$3:$AE$170,6,FALSE))</f>
        <v>1.804123711340206E-2</v>
      </c>
      <c r="AE19" s="20">
        <f>IF(OR(ISERROR(VLOOKUP($Y$7&amp;$AB19&amp;$Z19,'Comorb data'!$A$3:$AE$170,7,FALSE)),ISBLANK(VLOOKUP($Y$7&amp;$AB19&amp;$Z19,'Comorb data'!$A$3:$AE$170,7,FALSE))),"",VLOOKUP($Y$7&amp;$AB19&amp;$Z19,'Comorb data'!$A$3:$AE$170,7,FALSE))</f>
        <v>7.4742268041237112E-2</v>
      </c>
      <c r="AF19" s="20">
        <f>IF(OR(ISERROR(VLOOKUP($Y$7&amp;$AB19&amp;$Z19,'Comorb data'!$A$3:$AE$170,8,FALSE)),ISBLANK(VLOOKUP($Y$7&amp;$AB19&amp;$Z19,'Comorb data'!$A$3:$AE$170,8,FALSE))),"",VLOOKUP($Y$7&amp;$AB19&amp;$Z19,'Comorb data'!$A$3:$AE$170,8,FALSE))</f>
        <v>1.4175257731958763E-2</v>
      </c>
      <c r="AG19" s="20">
        <f>IF(OR(ISERROR(VLOOKUP($Y$7&amp;$AB19&amp;$Z19,'Comorb data'!$A$3:$AE$170,9,FALSE)),ISBLANK(VLOOKUP($Y$7&amp;$AB19&amp;$Z19,'Comorb data'!$A$3:$AE$170,9,FALSE))),"",VLOOKUP($Y$7&amp;$AB19&amp;$Z19,'Comorb data'!$A$3:$AE$170,9,FALSE))</f>
        <v>6.3144329896907214E-2</v>
      </c>
      <c r="AH19" s="20">
        <f>IF(OR(ISERROR(VLOOKUP($Y$7&amp;$AB19&amp;$Z19,'Comorb data'!$A$3:$AE$170,10,FALSE)),ISBLANK(VLOOKUP($Y$7&amp;$AB19&amp;$Z19,'Comorb data'!$A$3:$AE$170,10,FALSE))),"",VLOOKUP($Y$7&amp;$AB19&amp;$Z19,'Comorb data'!$A$3:$AE$170,10,FALSE))</f>
        <v>2.4484536082474227E-2</v>
      </c>
      <c r="AI19" s="20">
        <f>IF(OR(ISERROR(VLOOKUP($Y$7&amp;$AB19&amp;$Z19,'Comorb data'!$A$3:$AE$170,11,FALSE)),ISBLANK(VLOOKUP($Y$7&amp;$AB19&amp;$Z19,'Comorb data'!$A$3:$AE$170,11,FALSE))),"",VLOOKUP($Y$7&amp;$AB19&amp;$Z19,'Comorb data'!$A$3:$AE$170,11,FALSE))</f>
        <v>0.70618556701030932</v>
      </c>
      <c r="AJ19" s="20">
        <f>IF(OR(ISERROR(VLOOKUP($Y$7&amp;$AB19&amp;$Z19,'Comorb data'!$A$3:$AE$170,12,FALSE)),ISBLANK(VLOOKUP($Y$7&amp;$AB19&amp;$Z19,'Comorb data'!$A$3:$AE$170,12,FALSE))),"",VLOOKUP($Y$7&amp;$AB19&amp;$Z19,'Comorb data'!$A$3:$AE$170,12,FALSE))</f>
        <v>3.0927835051546393E-2</v>
      </c>
    </row>
    <row r="20" spans="1:36" ht="15" customHeight="1" x14ac:dyDescent="0.25">
      <c r="D20" s="12" t="s">
        <v>96</v>
      </c>
      <c r="Y20" s="25"/>
      <c r="Z20" s="25">
        <v>1</v>
      </c>
      <c r="AA20" s="33"/>
      <c r="AB20" s="25" t="s">
        <v>4</v>
      </c>
      <c r="AC20" s="20">
        <f>IF(OR(ISERROR(VLOOKUP($Y$7&amp;$AB20&amp;$Z20,'Comorb data'!$A$3:$AE$170,5,FALSE)),ISBLANK(VLOOKUP($Y$7&amp;$AB20&amp;$Z20,'Comorb data'!$A$3:$AE$170,5,FALSE))),"",VLOOKUP($Y$7&amp;$AB20&amp;$Z20,'Comorb data'!$A$3:$AE$170,5,FALSE))</f>
        <v>0.20161290322580644</v>
      </c>
      <c r="AD20" s="20">
        <f>IF(OR(ISERROR(VLOOKUP($Y$7&amp;$AB20&amp;$Z20,'Comorb data'!$A$3:$AE$170,6,FALSE)),ISBLANK(VLOOKUP($Y$7&amp;$AB20&amp;$Z20,'Comorb data'!$A$3:$AE$170,6,FALSE))),"",VLOOKUP($Y$7&amp;$AB20&amp;$Z20,'Comorb data'!$A$3:$AE$170,6,FALSE))</f>
        <v>1.6129032258064516E-2</v>
      </c>
      <c r="AE20" s="20">
        <f>IF(OR(ISERROR(VLOOKUP($Y$7&amp;$AB20&amp;$Z20,'Comorb data'!$A$3:$AE$170,7,FALSE)),ISBLANK(VLOOKUP($Y$7&amp;$AB20&amp;$Z20,'Comorb data'!$A$3:$AE$170,7,FALSE))),"",VLOOKUP($Y$7&amp;$AB20&amp;$Z20,'Comorb data'!$A$3:$AE$170,7,FALSE))</f>
        <v>5.6451612903225805E-2</v>
      </c>
      <c r="AF20" s="20">
        <f>IF(OR(ISERROR(VLOOKUP($Y$7&amp;$AB20&amp;$Z20,'Comorb data'!$A$3:$AE$170,8,FALSE)),ISBLANK(VLOOKUP($Y$7&amp;$AB20&amp;$Z20,'Comorb data'!$A$3:$AE$170,8,FALSE))),"",VLOOKUP($Y$7&amp;$AB20&amp;$Z20,'Comorb data'!$A$3:$AE$170,8,FALSE))</f>
        <v>7.2580645161290328E-2</v>
      </c>
      <c r="AG20" s="20">
        <f>IF(OR(ISERROR(VLOOKUP($Y$7&amp;$AB20&amp;$Z20,'Comorb data'!$A$3:$AE$170,9,FALSE)),ISBLANK(VLOOKUP($Y$7&amp;$AB20&amp;$Z20,'Comorb data'!$A$3:$AE$170,9,FALSE))),"",VLOOKUP($Y$7&amp;$AB20&amp;$Z20,'Comorb data'!$A$3:$AE$170,9,FALSE))</f>
        <v>0.25403225806451613</v>
      </c>
      <c r="AH20" s="20">
        <f>IF(OR(ISERROR(VLOOKUP($Y$7&amp;$AB20&amp;$Z20,'Comorb data'!$A$3:$AE$170,10,FALSE)),ISBLANK(VLOOKUP($Y$7&amp;$AB20&amp;$Z20,'Comorb data'!$A$3:$AE$170,10,FALSE))),"",VLOOKUP($Y$7&amp;$AB20&amp;$Z20,'Comorb data'!$A$3:$AE$170,10,FALSE))</f>
        <v>8.0645161290322578E-3</v>
      </c>
      <c r="AI20" s="20">
        <f>IF(OR(ISERROR(VLOOKUP($Y$7&amp;$AB20&amp;$Z20,'Comorb data'!$A$3:$AE$170,11,FALSE)),ISBLANK(VLOOKUP($Y$7&amp;$AB20&amp;$Z20,'Comorb data'!$A$3:$AE$170,11,FALSE))),"",VLOOKUP($Y$7&amp;$AB20&amp;$Z20,'Comorb data'!$A$3:$AE$170,11,FALSE))</f>
        <v>0.23790322580645162</v>
      </c>
      <c r="AJ20" s="20">
        <f>IF(OR(ISERROR(VLOOKUP($Y$7&amp;$AB20&amp;$Z20,'Comorb data'!$A$3:$AE$170,12,FALSE)),ISBLANK(VLOOKUP($Y$7&amp;$AB20&amp;$Z20,'Comorb data'!$A$3:$AE$170,12,FALSE))),"",VLOOKUP($Y$7&amp;$AB20&amp;$Z20,'Comorb data'!$A$3:$AE$170,12,FALSE))</f>
        <v>0.15322580645161291</v>
      </c>
    </row>
    <row r="21" spans="1:36" x14ac:dyDescent="0.25">
      <c r="Y21" s="25"/>
      <c r="Z21" s="25">
        <v>1</v>
      </c>
      <c r="AA21" s="33"/>
      <c r="AB21" s="25" t="s">
        <v>34</v>
      </c>
      <c r="AC21" s="20">
        <f>IF(OR(ISERROR(VLOOKUP($Y$7&amp;$AB21&amp;$Z21,'Comorb data'!$A$3:$AE$170,5,FALSE)),ISBLANK(VLOOKUP($Y$7&amp;$AB21&amp;$Z21,'Comorb data'!$A$3:$AE$170,5,FALSE))),"",VLOOKUP($Y$7&amp;$AB21&amp;$Z21,'Comorb data'!$A$3:$AE$170,5,FALSE))</f>
        <v>0.17996880721502678</v>
      </c>
      <c r="AD21" s="20">
        <f>IF(OR(ISERROR(VLOOKUP($Y$7&amp;$AB21&amp;$Z21,'Comorb data'!$A$3:$AE$170,6,FALSE)),ISBLANK(VLOOKUP($Y$7&amp;$AB21&amp;$Z21,'Comorb data'!$A$3:$AE$170,6,FALSE))),"",VLOOKUP($Y$7&amp;$AB21&amp;$Z21,'Comorb data'!$A$3:$AE$170,6,FALSE))</f>
        <v>1.2951786804095748E-2</v>
      </c>
      <c r="AE21" s="20">
        <f>IF(OR(ISERROR(VLOOKUP($Y$7&amp;$AB21&amp;$Z21,'Comorb data'!$A$3:$AE$170,7,FALSE)),ISBLANK(VLOOKUP($Y$7&amp;$AB21&amp;$Z21,'Comorb data'!$A$3:$AE$170,7,FALSE))),"",VLOOKUP($Y$7&amp;$AB21&amp;$Z21,'Comorb data'!$A$3:$AE$170,7,FALSE))</f>
        <v>1.9597206211432835E-2</v>
      </c>
      <c r="AF21" s="20">
        <f>IF(OR(ISERROR(VLOOKUP($Y$7&amp;$AB21&amp;$Z21,'Comorb data'!$A$3:$AE$170,8,FALSE)),ISBLANK(VLOOKUP($Y$7&amp;$AB21&amp;$Z21,'Comorb data'!$A$3:$AE$170,8,FALSE))),"",VLOOKUP($Y$7&amp;$AB21&amp;$Z21,'Comorb data'!$A$3:$AE$170,8,FALSE))</f>
        <v>4.9908455957143827E-2</v>
      </c>
      <c r="AG21" s="20">
        <f>IF(OR(ISERROR(VLOOKUP($Y$7&amp;$AB21&amp;$Z21,'Comorb data'!$A$3:$AE$170,9,FALSE)),ISBLANK(VLOOKUP($Y$7&amp;$AB21&amp;$Z21,'Comorb data'!$A$3:$AE$170,9,FALSE))),"",VLOOKUP($Y$7&amp;$AB21&amp;$Z21,'Comorb data'!$A$3:$AE$170,9,FALSE))</f>
        <v>0.33430528243032481</v>
      </c>
      <c r="AH21" s="20">
        <f>IF(OR(ISERROR(VLOOKUP($Y$7&amp;$AB21&amp;$Z21,'Comorb data'!$A$3:$AE$170,10,FALSE)),ISBLANK(VLOOKUP($Y$7&amp;$AB21&amp;$Z21,'Comorb data'!$A$3:$AE$170,10,FALSE))),"",VLOOKUP($Y$7&amp;$AB21&amp;$Z21,'Comorb data'!$A$3:$AE$170,10,FALSE))</f>
        <v>9.1544042856174131E-3</v>
      </c>
      <c r="AI21" s="20">
        <f>IF(OR(ISERROR(VLOOKUP($Y$7&amp;$AB21&amp;$Z21,'Comorb data'!$A$3:$AE$170,11,FALSE)),ISBLANK(VLOOKUP($Y$7&amp;$AB21&amp;$Z21,'Comorb data'!$A$3:$AE$170,11,FALSE))),"",VLOOKUP($Y$7&amp;$AB21&amp;$Z21,'Comorb data'!$A$3:$AE$170,11,FALSE))</f>
        <v>0.21407743947921612</v>
      </c>
      <c r="AJ21" s="20">
        <f>IF(OR(ISERROR(VLOOKUP($Y$7&amp;$AB21&amp;$Z21,'Comorb data'!$A$3:$AE$170,12,FALSE)),ISBLANK(VLOOKUP($Y$7&amp;$AB21&amp;$Z21,'Comorb data'!$A$3:$AE$170,12,FALSE))),"",VLOOKUP($Y$7&amp;$AB21&amp;$Z21,'Comorb data'!$A$3:$AE$170,12,FALSE))</f>
        <v>0.18003661761714246</v>
      </c>
    </row>
    <row r="22" spans="1:36" ht="15.75" x14ac:dyDescent="0.25">
      <c r="A22" s="7"/>
      <c r="B22" s="7"/>
      <c r="Y22" s="25"/>
      <c r="Z22" s="25"/>
      <c r="AA22" s="33"/>
      <c r="AB22" s="25"/>
      <c r="AC22" s="20"/>
      <c r="AD22" s="20"/>
      <c r="AE22" s="20"/>
      <c r="AF22" s="20"/>
      <c r="AG22" s="20"/>
      <c r="AH22" s="20"/>
      <c r="AI22" s="20"/>
      <c r="AJ22" s="20"/>
    </row>
    <row r="23" spans="1:36" x14ac:dyDescent="0.25">
      <c r="Y23" s="25"/>
      <c r="Z23" s="25">
        <v>2</v>
      </c>
      <c r="AA23" s="25">
        <v>2</v>
      </c>
      <c r="AB23" s="25" t="s">
        <v>0</v>
      </c>
      <c r="AC23" s="20">
        <f>IF(OR(ISERROR(VLOOKUP($Y$7&amp;$AB23&amp;$Z23,'Comorb data'!$A$3:$AE$170,5,FALSE)),ISBLANK(VLOOKUP($Y$7&amp;$AB23&amp;$Z23,'Comorb data'!$A$3:$AE$170,5,FALSE))),"",VLOOKUP($Y$7&amp;$AB23&amp;$Z23,'Comorb data'!$A$3:$AE$170,5,FALSE))</f>
        <v>0.18169014084507043</v>
      </c>
      <c r="AD23" s="20">
        <f>IF(OR(ISERROR(VLOOKUP($Y$7&amp;$AB23&amp;$Z23,'Comorb data'!$A$3:$AE$170,6,FALSE)),ISBLANK(VLOOKUP($Y$7&amp;$AB23&amp;$Z23,'Comorb data'!$A$3:$AE$170,6,FALSE))),"",VLOOKUP($Y$7&amp;$AB23&amp;$Z23,'Comorb data'!$A$3:$AE$170,6,FALSE))</f>
        <v>4.2253521126760559E-3</v>
      </c>
      <c r="AE23" s="20">
        <f>IF(OR(ISERROR(VLOOKUP($Y$7&amp;$AB23&amp;$Z23,'Comorb data'!$A$3:$AE$170,7,FALSE)),ISBLANK(VLOOKUP($Y$7&amp;$AB23&amp;$Z23,'Comorb data'!$A$3:$AE$170,7,FALSE))),"",VLOOKUP($Y$7&amp;$AB23&amp;$Z23,'Comorb data'!$A$3:$AE$170,7,FALSE))</f>
        <v>9.1549295774647887E-3</v>
      </c>
      <c r="AF23" s="20">
        <f>IF(OR(ISERROR(VLOOKUP($Y$7&amp;$AB23&amp;$Z23,'Comorb data'!$A$3:$AE$170,8,FALSE)),ISBLANK(VLOOKUP($Y$7&amp;$AB23&amp;$Z23,'Comorb data'!$A$3:$AE$170,8,FALSE))),"",VLOOKUP($Y$7&amp;$AB23&amp;$Z23,'Comorb data'!$A$3:$AE$170,8,FALSE))</f>
        <v>3.873239436619718E-2</v>
      </c>
      <c r="AG23" s="20">
        <f>IF(OR(ISERROR(VLOOKUP($Y$7&amp;$AB23&amp;$Z23,'Comorb data'!$A$3:$AE$170,9,FALSE)),ISBLANK(VLOOKUP($Y$7&amp;$AB23&amp;$Z23,'Comorb data'!$A$3:$AE$170,9,FALSE))),"",VLOOKUP($Y$7&amp;$AB23&amp;$Z23,'Comorb data'!$A$3:$AE$170,9,FALSE))</f>
        <v>0.6049295774647887</v>
      </c>
      <c r="AH23" s="20">
        <f>IF(OR(ISERROR(VLOOKUP($Y$7&amp;$AB23&amp;$Z23,'Comorb data'!$A$3:$AE$170,10,FALSE)),ISBLANK(VLOOKUP($Y$7&amp;$AB23&amp;$Z23,'Comorb data'!$A$3:$AE$170,10,FALSE))),"",VLOOKUP($Y$7&amp;$AB23&amp;$Z23,'Comorb data'!$A$3:$AE$170,10,FALSE))</f>
        <v>2.112676056338028E-3</v>
      </c>
      <c r="AI23" s="20">
        <f>IF(OR(ISERROR(VLOOKUP($Y$7&amp;$AB23&amp;$Z23,'Comorb data'!$A$3:$AE$170,11,FALSE)),ISBLANK(VLOOKUP($Y$7&amp;$AB23&amp;$Z23,'Comorb data'!$A$3:$AE$170,11,FALSE))),"",VLOOKUP($Y$7&amp;$AB23&amp;$Z23,'Comorb data'!$A$3:$AE$170,11,FALSE))</f>
        <v>3.6619718309859155E-2</v>
      </c>
      <c r="AJ23" s="20">
        <f>IF(OR(ISERROR(VLOOKUP($Y$7&amp;$AB23&amp;$Z23,'Comorb data'!$A$3:$AE$170,12,FALSE)),ISBLANK(VLOOKUP($Y$7&amp;$AB23&amp;$Z23,'Comorb data'!$A$3:$AE$170,12,FALSE))),"",VLOOKUP($Y$7&amp;$AB23&amp;$Z23,'Comorb data'!$A$3:$AE$170,12,FALSE))</f>
        <v>0.12253521126760564</v>
      </c>
    </row>
    <row r="24" spans="1:36" ht="15.75" x14ac:dyDescent="0.25">
      <c r="A24" s="7"/>
      <c r="B24" s="7"/>
      <c r="Y24" s="25"/>
      <c r="Z24" s="25">
        <v>2</v>
      </c>
      <c r="AA24" s="33"/>
      <c r="AB24" s="25" t="s">
        <v>1</v>
      </c>
      <c r="AC24" s="20">
        <f>IF(OR(ISERROR(VLOOKUP($Y$7&amp;$AB24&amp;$Z24,'Comorb data'!$A$3:$AE$170,5,FALSE)),ISBLANK(VLOOKUP($Y$7&amp;$AB24&amp;$Z24,'Comorb data'!$A$3:$AE$170,5,FALSE))),"",VLOOKUP($Y$7&amp;$AB24&amp;$Z24,'Comorb data'!$A$3:$AE$170,5,FALSE))</f>
        <v>0.18621399176954734</v>
      </c>
      <c r="AD24" s="20">
        <f>IF(OR(ISERROR(VLOOKUP($Y$7&amp;$AB24&amp;$Z24,'Comorb data'!$A$3:$AE$170,6,FALSE)),ISBLANK(VLOOKUP($Y$7&amp;$AB24&amp;$Z24,'Comorb data'!$A$3:$AE$170,6,FALSE))),"",VLOOKUP($Y$7&amp;$AB24&amp;$Z24,'Comorb data'!$A$3:$AE$170,6,FALSE))</f>
        <v>1.9804526748971193E-2</v>
      </c>
      <c r="AE24" s="20">
        <f>IF(OR(ISERROR(VLOOKUP($Y$7&amp;$AB24&amp;$Z24,'Comorb data'!$A$3:$AE$170,7,FALSE)),ISBLANK(VLOOKUP($Y$7&amp;$AB24&amp;$Z24,'Comorb data'!$A$3:$AE$170,7,FALSE))),"",VLOOKUP($Y$7&amp;$AB24&amp;$Z24,'Comorb data'!$A$3:$AE$170,7,FALSE))</f>
        <v>1.6203703703703703E-2</v>
      </c>
      <c r="AF24" s="20">
        <f>IF(OR(ISERROR(VLOOKUP($Y$7&amp;$AB24&amp;$Z24,'Comorb data'!$A$3:$AE$170,8,FALSE)),ISBLANK(VLOOKUP($Y$7&amp;$AB24&amp;$Z24,'Comorb data'!$A$3:$AE$170,8,FALSE))),"",VLOOKUP($Y$7&amp;$AB24&amp;$Z24,'Comorb data'!$A$3:$AE$170,8,FALSE))</f>
        <v>3.8065843621399177E-2</v>
      </c>
      <c r="AG24" s="20">
        <f>IF(OR(ISERROR(VLOOKUP($Y$7&amp;$AB24&amp;$Z24,'Comorb data'!$A$3:$AE$170,9,FALSE)),ISBLANK(VLOOKUP($Y$7&amp;$AB24&amp;$Z24,'Comorb data'!$A$3:$AE$170,9,FALSE))),"",VLOOKUP($Y$7&amp;$AB24&amp;$Z24,'Comorb data'!$A$3:$AE$170,9,FALSE))</f>
        <v>0.26157407407407407</v>
      </c>
      <c r="AH24" s="20">
        <f>IF(OR(ISERROR(VLOOKUP($Y$7&amp;$AB24&amp;$Z24,'Comorb data'!$A$3:$AE$170,10,FALSE)),ISBLANK(VLOOKUP($Y$7&amp;$AB24&amp;$Z24,'Comorb data'!$A$3:$AE$170,10,FALSE))),"",VLOOKUP($Y$7&amp;$AB24&amp;$Z24,'Comorb data'!$A$3:$AE$170,10,FALSE))</f>
        <v>7.716049382716049E-3</v>
      </c>
      <c r="AI24" s="20">
        <f>IF(OR(ISERROR(VLOOKUP($Y$7&amp;$AB24&amp;$Z24,'Comorb data'!$A$3:$AE$170,11,FALSE)),ISBLANK(VLOOKUP($Y$7&amp;$AB24&amp;$Z24,'Comorb data'!$A$3:$AE$170,11,FALSE))),"",VLOOKUP($Y$7&amp;$AB24&amp;$Z24,'Comorb data'!$A$3:$AE$170,11,FALSE))</f>
        <v>0.3271604938271605</v>
      </c>
      <c r="AJ24" s="20">
        <f>IF(OR(ISERROR(VLOOKUP($Y$7&amp;$AB24&amp;$Z24,'Comorb data'!$A$3:$AE$170,12,FALSE)),ISBLANK(VLOOKUP($Y$7&amp;$AB24&amp;$Z24,'Comorb data'!$A$3:$AE$170,12,FALSE))),"",VLOOKUP($Y$7&amp;$AB24&amp;$Z24,'Comorb data'!$A$3:$AE$170,12,FALSE))</f>
        <v>0.14326131687242799</v>
      </c>
    </row>
    <row r="25" spans="1:36" x14ac:dyDescent="0.25">
      <c r="Y25" s="25"/>
      <c r="Z25" s="25">
        <v>2</v>
      </c>
      <c r="AA25" s="33"/>
      <c r="AB25" s="25" t="s">
        <v>2</v>
      </c>
      <c r="AC25" s="20">
        <f>IF(OR(ISERROR(VLOOKUP($Y$7&amp;$AB25&amp;$Z25,'Comorb data'!$A$3:$AE$170,5,FALSE)),ISBLANK(VLOOKUP($Y$7&amp;$AB25&amp;$Z25,'Comorb data'!$A$3:$AE$170,5,FALSE))),"",VLOOKUP($Y$7&amp;$AB25&amp;$Z25,'Comorb data'!$A$3:$AE$170,5,FALSE))</f>
        <v>0.23119777158774374</v>
      </c>
      <c r="AD25" s="20">
        <f>IF(OR(ISERROR(VLOOKUP($Y$7&amp;$AB25&amp;$Z25,'Comorb data'!$A$3:$AE$170,6,FALSE)),ISBLANK(VLOOKUP($Y$7&amp;$AB25&amp;$Z25,'Comorb data'!$A$3:$AE$170,6,FALSE))),"",VLOOKUP($Y$7&amp;$AB25&amp;$Z25,'Comorb data'!$A$3:$AE$170,6,FALSE))</f>
        <v>5.0139275766016712E-2</v>
      </c>
      <c r="AE25" s="20">
        <f>IF(OR(ISERROR(VLOOKUP($Y$7&amp;$AB25&amp;$Z25,'Comorb data'!$A$3:$AE$170,7,FALSE)),ISBLANK(VLOOKUP($Y$7&amp;$AB25&amp;$Z25,'Comorb data'!$A$3:$AE$170,7,FALSE))),"",VLOOKUP($Y$7&amp;$AB25&amp;$Z25,'Comorb data'!$A$3:$AE$170,7,FALSE))</f>
        <v>3.5283194057567316E-2</v>
      </c>
      <c r="AF25" s="20">
        <f>IF(OR(ISERROR(VLOOKUP($Y$7&amp;$AB25&amp;$Z25,'Comorb data'!$A$3:$AE$170,8,FALSE)),ISBLANK(VLOOKUP($Y$7&amp;$AB25&amp;$Z25,'Comorb data'!$A$3:$AE$170,8,FALSE))),"",VLOOKUP($Y$7&amp;$AB25&amp;$Z25,'Comorb data'!$A$3:$AE$170,8,FALSE))</f>
        <v>8.4493964716805939E-2</v>
      </c>
      <c r="AG25" s="20">
        <f>IF(OR(ISERROR(VLOOKUP($Y$7&amp;$AB25&amp;$Z25,'Comorb data'!$A$3:$AE$170,9,FALSE)),ISBLANK(VLOOKUP($Y$7&amp;$AB25&amp;$Z25,'Comorb data'!$A$3:$AE$170,9,FALSE))),"",VLOOKUP($Y$7&amp;$AB25&amp;$Z25,'Comorb data'!$A$3:$AE$170,9,FALSE))</f>
        <v>0.22191272051996286</v>
      </c>
      <c r="AH25" s="20">
        <f>IF(OR(ISERROR(VLOOKUP($Y$7&amp;$AB25&amp;$Z25,'Comorb data'!$A$3:$AE$170,10,FALSE)),ISBLANK(VLOOKUP($Y$7&amp;$AB25&amp;$Z25,'Comorb data'!$A$3:$AE$170,10,FALSE))),"",VLOOKUP($Y$7&amp;$AB25&amp;$Z25,'Comorb data'!$A$3:$AE$170,10,FALSE))</f>
        <v>3.4354688950789226E-2</v>
      </c>
      <c r="AI25" s="20">
        <f>IF(OR(ISERROR(VLOOKUP($Y$7&amp;$AB25&amp;$Z25,'Comorb data'!$A$3:$AE$170,11,FALSE)),ISBLANK(VLOOKUP($Y$7&amp;$AB25&amp;$Z25,'Comorb data'!$A$3:$AE$170,11,FALSE))),"",VLOOKUP($Y$7&amp;$AB25&amp;$Z25,'Comorb data'!$A$3:$AE$170,11,FALSE))</f>
        <v>0.23955431754874651</v>
      </c>
      <c r="AJ25" s="20">
        <f>IF(OR(ISERROR(VLOOKUP($Y$7&amp;$AB25&amp;$Z25,'Comorb data'!$A$3:$AE$170,12,FALSE)),ISBLANK(VLOOKUP($Y$7&amp;$AB25&amp;$Z25,'Comorb data'!$A$3:$AE$170,12,FALSE))),"",VLOOKUP($Y$7&amp;$AB25&amp;$Z25,'Comorb data'!$A$3:$AE$170,12,FALSE))</f>
        <v>0.10306406685236769</v>
      </c>
    </row>
    <row r="26" spans="1:36" x14ac:dyDescent="0.25">
      <c r="Y26" s="25"/>
      <c r="Z26" s="25">
        <v>2</v>
      </c>
      <c r="AA26" s="33"/>
      <c r="AB26" s="25" t="s">
        <v>32</v>
      </c>
      <c r="AC26" s="20">
        <f>IF(OR(ISERROR(VLOOKUP($Y$7&amp;$AB26&amp;$Z26,'Comorb data'!$A$3:$AE$170,5,FALSE)),ISBLANK(VLOOKUP($Y$7&amp;$AB26&amp;$Z26,'Comorb data'!$A$3:$AE$170,5,FALSE))),"",VLOOKUP($Y$7&amp;$AB26&amp;$Z26,'Comorb data'!$A$3:$AE$170,5,FALSE))</f>
        <v>0.22299651567944251</v>
      </c>
      <c r="AD26" s="20">
        <f>IF(OR(ISERROR(VLOOKUP($Y$7&amp;$AB26&amp;$Z26,'Comorb data'!$A$3:$AE$170,6,FALSE)),ISBLANK(VLOOKUP($Y$7&amp;$AB26&amp;$Z26,'Comorb data'!$A$3:$AE$170,6,FALSE))),"",VLOOKUP($Y$7&amp;$AB26&amp;$Z26,'Comorb data'!$A$3:$AE$170,6,FALSE))</f>
        <v>7.4912891986062713E-2</v>
      </c>
      <c r="AE26" s="20">
        <f>IF(OR(ISERROR(VLOOKUP($Y$7&amp;$AB26&amp;$Z26,'Comorb data'!$A$3:$AE$170,7,FALSE)),ISBLANK(VLOOKUP($Y$7&amp;$AB26&amp;$Z26,'Comorb data'!$A$3:$AE$170,7,FALSE))),"",VLOOKUP($Y$7&amp;$AB26&amp;$Z26,'Comorb data'!$A$3:$AE$170,7,FALSE))</f>
        <v>3.3101045296167246E-2</v>
      </c>
      <c r="AF26" s="20">
        <f>IF(OR(ISERROR(VLOOKUP($Y$7&amp;$AB26&amp;$Z26,'Comorb data'!$A$3:$AE$170,8,FALSE)),ISBLANK(VLOOKUP($Y$7&amp;$AB26&amp;$Z26,'Comorb data'!$A$3:$AE$170,8,FALSE))),"",VLOOKUP($Y$7&amp;$AB26&amp;$Z26,'Comorb data'!$A$3:$AE$170,8,FALSE))</f>
        <v>8.7108013937282236E-2</v>
      </c>
      <c r="AG26" s="20">
        <f>IF(OR(ISERROR(VLOOKUP($Y$7&amp;$AB26&amp;$Z26,'Comorb data'!$A$3:$AE$170,9,FALSE)),ISBLANK(VLOOKUP($Y$7&amp;$AB26&amp;$Z26,'Comorb data'!$A$3:$AE$170,9,FALSE))),"",VLOOKUP($Y$7&amp;$AB26&amp;$Z26,'Comorb data'!$A$3:$AE$170,9,FALSE))</f>
        <v>0.24041811846689895</v>
      </c>
      <c r="AH26" s="20">
        <f>IF(OR(ISERROR(VLOOKUP($Y$7&amp;$AB26&amp;$Z26,'Comorb data'!$A$3:$AE$170,10,FALSE)),ISBLANK(VLOOKUP($Y$7&amp;$AB26&amp;$Z26,'Comorb data'!$A$3:$AE$170,10,FALSE))),"",VLOOKUP($Y$7&amp;$AB26&amp;$Z26,'Comorb data'!$A$3:$AE$170,10,FALSE))</f>
        <v>4.1811846689895474E-2</v>
      </c>
      <c r="AI26" s="20">
        <f>IF(OR(ISERROR(VLOOKUP($Y$7&amp;$AB26&amp;$Z26,'Comorb data'!$A$3:$AE$170,11,FALSE)),ISBLANK(VLOOKUP($Y$7&amp;$AB26&amp;$Z26,'Comorb data'!$A$3:$AE$170,11,FALSE))),"",VLOOKUP($Y$7&amp;$AB26&amp;$Z26,'Comorb data'!$A$3:$AE$170,11,FALSE))</f>
        <v>0.17073170731707318</v>
      </c>
      <c r="AJ26" s="20">
        <f>IF(OR(ISERROR(VLOOKUP($Y$7&amp;$AB26&amp;$Z26,'Comorb data'!$A$3:$AE$170,12,FALSE)),ISBLANK(VLOOKUP($Y$7&amp;$AB26&amp;$Z26,'Comorb data'!$A$3:$AE$170,12,FALSE))),"",VLOOKUP($Y$7&amp;$AB26&amp;$Z26,'Comorb data'!$A$3:$AE$170,12,FALSE))</f>
        <v>0.1289198606271777</v>
      </c>
    </row>
    <row r="27" spans="1:36" ht="15.75" x14ac:dyDescent="0.25">
      <c r="A27" s="7"/>
      <c r="B27" s="7"/>
      <c r="Y27" s="25"/>
      <c r="Z27" s="25">
        <v>2</v>
      </c>
      <c r="AA27" s="33"/>
      <c r="AB27" s="25" t="s">
        <v>3</v>
      </c>
      <c r="AC27" s="20">
        <f>IF(OR(ISERROR(VLOOKUP($Y$7&amp;$AB27&amp;$Z27,'Comorb data'!$A$3:$AE$170,5,FALSE)),ISBLANK(VLOOKUP($Y$7&amp;$AB27&amp;$Z27,'Comorb data'!$A$3:$AE$170,5,FALSE))),"",VLOOKUP($Y$7&amp;$AB27&amp;$Z27,'Comorb data'!$A$3:$AE$170,5,FALSE))</f>
        <v>0.10860655737704918</v>
      </c>
      <c r="AD27" s="20">
        <f>IF(OR(ISERROR(VLOOKUP($Y$7&amp;$AB27&amp;$Z27,'Comorb data'!$A$3:$AE$170,6,FALSE)),ISBLANK(VLOOKUP($Y$7&amp;$AB27&amp;$Z27,'Comorb data'!$A$3:$AE$170,6,FALSE))),"",VLOOKUP($Y$7&amp;$AB27&amp;$Z27,'Comorb data'!$A$3:$AE$170,6,FALSE))</f>
        <v>4.3032786885245901E-2</v>
      </c>
      <c r="AE27" s="20">
        <f>IF(OR(ISERROR(VLOOKUP($Y$7&amp;$AB27&amp;$Z27,'Comorb data'!$A$3:$AE$170,7,FALSE)),ISBLANK(VLOOKUP($Y$7&amp;$AB27&amp;$Z27,'Comorb data'!$A$3:$AE$170,7,FALSE))),"",VLOOKUP($Y$7&amp;$AB27&amp;$Z27,'Comorb data'!$A$3:$AE$170,7,FALSE))</f>
        <v>5.5327868852459015E-2</v>
      </c>
      <c r="AF27" s="20">
        <f>IF(OR(ISERROR(VLOOKUP($Y$7&amp;$AB27&amp;$Z27,'Comorb data'!$A$3:$AE$170,8,FALSE)),ISBLANK(VLOOKUP($Y$7&amp;$AB27&amp;$Z27,'Comorb data'!$A$3:$AE$170,8,FALSE))),"",VLOOKUP($Y$7&amp;$AB27&amp;$Z27,'Comorb data'!$A$3:$AE$170,8,FALSE))</f>
        <v>2.4590163934426229E-2</v>
      </c>
      <c r="AG27" s="20">
        <f>IF(OR(ISERROR(VLOOKUP($Y$7&amp;$AB27&amp;$Z27,'Comorb data'!$A$3:$AE$170,9,FALSE)),ISBLANK(VLOOKUP($Y$7&amp;$AB27&amp;$Z27,'Comorb data'!$A$3:$AE$170,9,FALSE))),"",VLOOKUP($Y$7&amp;$AB27&amp;$Z27,'Comorb data'!$A$3:$AE$170,9,FALSE))</f>
        <v>5.3278688524590161E-2</v>
      </c>
      <c r="AH27" s="20">
        <f>IF(OR(ISERROR(VLOOKUP($Y$7&amp;$AB27&amp;$Z27,'Comorb data'!$A$3:$AE$170,10,FALSE)),ISBLANK(VLOOKUP($Y$7&amp;$AB27&amp;$Z27,'Comorb data'!$A$3:$AE$170,10,FALSE))),"",VLOOKUP($Y$7&amp;$AB27&amp;$Z27,'Comorb data'!$A$3:$AE$170,10,FALSE))</f>
        <v>2.2540983606557378E-2</v>
      </c>
      <c r="AI27" s="20">
        <f>IF(OR(ISERROR(VLOOKUP($Y$7&amp;$AB27&amp;$Z27,'Comorb data'!$A$3:$AE$170,11,FALSE)),ISBLANK(VLOOKUP($Y$7&amp;$AB27&amp;$Z27,'Comorb data'!$A$3:$AE$170,11,FALSE))),"",VLOOKUP($Y$7&amp;$AB27&amp;$Z27,'Comorb data'!$A$3:$AE$170,11,FALSE))</f>
        <v>0.66803278688524592</v>
      </c>
      <c r="AJ27" s="20">
        <f>IF(OR(ISERROR(VLOOKUP($Y$7&amp;$AB27&amp;$Z27,'Comorb data'!$A$3:$AE$170,12,FALSE)),ISBLANK(VLOOKUP($Y$7&amp;$AB27&amp;$Z27,'Comorb data'!$A$3:$AE$170,12,FALSE))),"",VLOOKUP($Y$7&amp;$AB27&amp;$Z27,'Comorb data'!$A$3:$AE$170,12,FALSE))</f>
        <v>2.4590163934426229E-2</v>
      </c>
    </row>
    <row r="28" spans="1:36" x14ac:dyDescent="0.25">
      <c r="Y28" s="25"/>
      <c r="Z28" s="25">
        <v>2</v>
      </c>
      <c r="AA28" s="33"/>
      <c r="AB28" s="25" t="s">
        <v>4</v>
      </c>
      <c r="AC28" s="20">
        <f>IF(OR(ISERROR(VLOOKUP($Y$7&amp;$AB28&amp;$Z28,'Comorb data'!$A$3:$AE$170,5,FALSE)),ISBLANK(VLOOKUP($Y$7&amp;$AB28&amp;$Z28,'Comorb data'!$A$3:$AE$170,5,FALSE))),"",VLOOKUP($Y$7&amp;$AB28&amp;$Z28,'Comorb data'!$A$3:$AE$170,5,FALSE))</f>
        <v>0.30102040816326531</v>
      </c>
      <c r="AD28" s="20">
        <f>IF(OR(ISERROR(VLOOKUP($Y$7&amp;$AB28&amp;$Z28,'Comorb data'!$A$3:$AE$170,6,FALSE)),ISBLANK(VLOOKUP($Y$7&amp;$AB28&amp;$Z28,'Comorb data'!$A$3:$AE$170,6,FALSE))),"",VLOOKUP($Y$7&amp;$AB28&amp;$Z28,'Comorb data'!$A$3:$AE$170,6,FALSE))</f>
        <v>2.0408163265306121E-2</v>
      </c>
      <c r="AE28" s="20">
        <f>IF(OR(ISERROR(VLOOKUP($Y$7&amp;$AB28&amp;$Z28,'Comorb data'!$A$3:$AE$170,7,FALSE)),ISBLANK(VLOOKUP($Y$7&amp;$AB28&amp;$Z28,'Comorb data'!$A$3:$AE$170,7,FALSE))),"",VLOOKUP($Y$7&amp;$AB28&amp;$Z28,'Comorb data'!$A$3:$AE$170,7,FALSE))</f>
        <v>4.0816326530612242E-2</v>
      </c>
      <c r="AF28" s="20">
        <f>IF(OR(ISERROR(VLOOKUP($Y$7&amp;$AB28&amp;$Z28,'Comorb data'!$A$3:$AE$170,8,FALSE)),ISBLANK(VLOOKUP($Y$7&amp;$AB28&amp;$Z28,'Comorb data'!$A$3:$AE$170,8,FALSE))),"",VLOOKUP($Y$7&amp;$AB28&amp;$Z28,'Comorb data'!$A$3:$AE$170,8,FALSE))</f>
        <v>5.1020408163265307E-2</v>
      </c>
      <c r="AG28" s="20">
        <f>IF(OR(ISERROR(VLOOKUP($Y$7&amp;$AB28&amp;$Z28,'Comorb data'!$A$3:$AE$170,9,FALSE)),ISBLANK(VLOOKUP($Y$7&amp;$AB28&amp;$Z28,'Comorb data'!$A$3:$AE$170,9,FALSE))),"",VLOOKUP($Y$7&amp;$AB28&amp;$Z28,'Comorb data'!$A$3:$AE$170,9,FALSE))</f>
        <v>0.27551020408163263</v>
      </c>
      <c r="AH28" s="20">
        <f>IF(OR(ISERROR(VLOOKUP($Y$7&amp;$AB28&amp;$Z28,'Comorb data'!$A$3:$AE$170,10,FALSE)),ISBLANK(VLOOKUP($Y$7&amp;$AB28&amp;$Z28,'Comorb data'!$A$3:$AE$170,10,FALSE))),"",VLOOKUP($Y$7&amp;$AB28&amp;$Z28,'Comorb data'!$A$3:$AE$170,10,FALSE))</f>
        <v>5.1020408163265302E-3</v>
      </c>
      <c r="AI28" s="20">
        <f>IF(OR(ISERROR(VLOOKUP($Y$7&amp;$AB28&amp;$Z28,'Comorb data'!$A$3:$AE$170,11,FALSE)),ISBLANK(VLOOKUP($Y$7&amp;$AB28&amp;$Z28,'Comorb data'!$A$3:$AE$170,11,FALSE))),"",VLOOKUP($Y$7&amp;$AB28&amp;$Z28,'Comorb data'!$A$3:$AE$170,11,FALSE))</f>
        <v>0.20408163265306123</v>
      </c>
      <c r="AJ28" s="20">
        <f>IF(OR(ISERROR(VLOOKUP($Y$7&amp;$AB28&amp;$Z28,'Comorb data'!$A$3:$AE$170,12,FALSE)),ISBLANK(VLOOKUP($Y$7&amp;$AB28&amp;$Z28,'Comorb data'!$A$3:$AE$170,12,FALSE))),"",VLOOKUP($Y$7&amp;$AB28&amp;$Z28,'Comorb data'!$A$3:$AE$170,12,FALSE))</f>
        <v>0.10204081632653061</v>
      </c>
    </row>
    <row r="29" spans="1:36" ht="15.75" x14ac:dyDescent="0.25">
      <c r="A29" s="7"/>
      <c r="B29" s="7"/>
      <c r="Y29" s="25"/>
      <c r="Z29" s="25">
        <v>2</v>
      </c>
      <c r="AA29" s="33"/>
      <c r="AB29" s="25" t="s">
        <v>34</v>
      </c>
      <c r="AC29" s="20">
        <f>IF(OR(ISERROR(VLOOKUP($Y$7&amp;$AB29&amp;$Z29,'Comorb data'!$A$3:$AE$170,5,FALSE)),ISBLANK(VLOOKUP($Y$7&amp;$AB29&amp;$Z29,'Comorb data'!$A$3:$AE$170,5,FALSE))),"",VLOOKUP($Y$7&amp;$AB29&amp;$Z29,'Comorb data'!$A$3:$AE$170,5,FALSE))</f>
        <v>0.19246369226743426</v>
      </c>
      <c r="AD29" s="20">
        <f>IF(OR(ISERROR(VLOOKUP($Y$7&amp;$AB29&amp;$Z29,'Comorb data'!$A$3:$AE$170,6,FALSE)),ISBLANK(VLOOKUP($Y$7&amp;$AB29&amp;$Z29,'Comorb data'!$A$3:$AE$170,6,FALSE))),"",VLOOKUP($Y$7&amp;$AB29&amp;$Z29,'Comorb data'!$A$3:$AE$170,6,FALSE))</f>
        <v>2.6821928562082951E-2</v>
      </c>
      <c r="AE29" s="20">
        <f>IF(OR(ISERROR(VLOOKUP($Y$7&amp;$AB29&amp;$Z29,'Comorb data'!$A$3:$AE$170,7,FALSE)),ISBLANK(VLOOKUP($Y$7&amp;$AB29&amp;$Z29,'Comorb data'!$A$3:$AE$170,7,FALSE))),"",VLOOKUP($Y$7&amp;$AB29&amp;$Z29,'Comorb data'!$A$3:$AE$170,7,FALSE))</f>
        <v>2.198089755331676E-2</v>
      </c>
      <c r="AF29" s="20">
        <f>IF(OR(ISERROR(VLOOKUP($Y$7&amp;$AB29&amp;$Z29,'Comorb data'!$A$3:$AE$170,8,FALSE)),ISBLANK(VLOOKUP($Y$7&amp;$AB29&amp;$Z29,'Comorb data'!$A$3:$AE$170,8,FALSE))),"",VLOOKUP($Y$7&amp;$AB29&amp;$Z29,'Comorb data'!$A$3:$AE$170,8,FALSE))</f>
        <v>4.7886955384011512E-2</v>
      </c>
      <c r="AG29" s="20">
        <f>IF(OR(ISERROR(VLOOKUP($Y$7&amp;$AB29&amp;$Z29,'Comorb data'!$A$3:$AE$170,9,FALSE)),ISBLANK(VLOOKUP($Y$7&amp;$AB29&amp;$Z29,'Comorb data'!$A$3:$AE$170,9,FALSE))),"",VLOOKUP($Y$7&amp;$AB29&amp;$Z29,'Comorb data'!$A$3:$AE$170,9,FALSE))</f>
        <v>0.30524663090409526</v>
      </c>
      <c r="AH29" s="20">
        <f>IF(OR(ISERROR(VLOOKUP($Y$7&amp;$AB29&amp;$Z29,'Comorb data'!$A$3:$AE$170,10,FALSE)),ISBLANK(VLOOKUP($Y$7&amp;$AB29&amp;$Z29,'Comorb data'!$A$3:$AE$170,10,FALSE))),"",VLOOKUP($Y$7&amp;$AB29&amp;$Z29,'Comorb data'!$A$3:$AE$170,10,FALSE))</f>
        <v>1.3868899646735575E-2</v>
      </c>
      <c r="AI29" s="20">
        <f>IF(OR(ISERROR(VLOOKUP($Y$7&amp;$AB29&amp;$Z29,'Comorb data'!$A$3:$AE$170,11,FALSE)),ISBLANK(VLOOKUP($Y$7&amp;$AB29&amp;$Z29,'Comorb data'!$A$3:$AE$170,11,FALSE))),"",VLOOKUP($Y$7&amp;$AB29&amp;$Z29,'Comorb data'!$A$3:$AE$170,11,FALSE))</f>
        <v>0.26769593091717914</v>
      </c>
      <c r="AJ29" s="20">
        <f>IF(OR(ISERROR(VLOOKUP($Y$7&amp;$AB29&amp;$Z29,'Comorb data'!$A$3:$AE$170,12,FALSE)),ISBLANK(VLOOKUP($Y$7&amp;$AB29&amp;$Z29,'Comorb data'!$A$3:$AE$170,12,FALSE))),"",VLOOKUP($Y$7&amp;$AB29&amp;$Z29,'Comorb data'!$A$3:$AE$170,12,FALSE))</f>
        <v>0.12403506476514457</v>
      </c>
    </row>
    <row r="30" spans="1:36" x14ac:dyDescent="0.25">
      <c r="Y30" s="25"/>
      <c r="Z30" s="25"/>
      <c r="AA30" s="33"/>
      <c r="AB30" s="25"/>
      <c r="AC30" s="20"/>
      <c r="AD30" s="20"/>
      <c r="AE30" s="20"/>
      <c r="AF30" s="20"/>
      <c r="AG30" s="20"/>
      <c r="AH30" s="20"/>
      <c r="AI30" s="20"/>
      <c r="AJ30" s="20"/>
    </row>
    <row r="31" spans="1:36" ht="15.75" x14ac:dyDescent="0.25">
      <c r="A31" s="7"/>
      <c r="B31" s="7"/>
      <c r="Y31" s="25"/>
      <c r="Z31" s="25" t="s">
        <v>40</v>
      </c>
      <c r="AA31" s="25" t="s">
        <v>40</v>
      </c>
      <c r="AB31" s="25" t="s">
        <v>0</v>
      </c>
      <c r="AC31" s="20">
        <f>IF(OR(ISERROR(VLOOKUP($Y$7&amp;$AB31&amp;$Z31,'Comorb data'!$A$3:$AE$170,5,FALSE)),ISBLANK(VLOOKUP($Y$7&amp;$AB31&amp;$Z31,'Comorb data'!$A$3:$AE$170,5,FALSE))),"",VLOOKUP($Y$7&amp;$AB31&amp;$Z31,'Comorb data'!$A$3:$AE$170,5,FALSE))</f>
        <v>0.23299565846599132</v>
      </c>
      <c r="AD31" s="20">
        <f>IF(OR(ISERROR(VLOOKUP($Y$7&amp;$AB31&amp;$Z31,'Comorb data'!$A$3:$AE$170,6,FALSE)),ISBLANK(VLOOKUP($Y$7&amp;$AB31&amp;$Z31,'Comorb data'!$A$3:$AE$170,6,FALSE))),"",VLOOKUP($Y$7&amp;$AB31&amp;$Z31,'Comorb data'!$A$3:$AE$170,6,FALSE))</f>
        <v>1.3024602026049204E-2</v>
      </c>
      <c r="AE31" s="20">
        <f>IF(OR(ISERROR(VLOOKUP($Y$7&amp;$AB31&amp;$Z31,'Comorb data'!$A$3:$AE$170,7,FALSE)),ISBLANK(VLOOKUP($Y$7&amp;$AB31&amp;$Z31,'Comorb data'!$A$3:$AE$170,7,FALSE))),"",VLOOKUP($Y$7&amp;$AB31&amp;$Z31,'Comorb data'!$A$3:$AE$170,7,FALSE))</f>
        <v>5.7887120115774236E-3</v>
      </c>
      <c r="AF31" s="20">
        <f>IF(OR(ISERROR(VLOOKUP($Y$7&amp;$AB31&amp;$Z31,'Comorb data'!$A$3:$AE$170,8,FALSE)),ISBLANK(VLOOKUP($Y$7&amp;$AB31&amp;$Z31,'Comorb data'!$A$3:$AE$170,8,FALSE))),"",VLOOKUP($Y$7&amp;$AB31&amp;$Z31,'Comorb data'!$A$3:$AE$170,8,FALSE))</f>
        <v>2.4602026049204053E-2</v>
      </c>
      <c r="AG31" s="20">
        <f>IF(OR(ISERROR(VLOOKUP($Y$7&amp;$AB31&amp;$Z31,'Comorb data'!$A$3:$AE$170,9,FALSE)),ISBLANK(VLOOKUP($Y$7&amp;$AB31&amp;$Z31,'Comorb data'!$A$3:$AE$170,9,FALSE))),"",VLOOKUP($Y$7&amp;$AB31&amp;$Z31,'Comorb data'!$A$3:$AE$170,9,FALSE))</f>
        <v>0.52966714905933432</v>
      </c>
      <c r="AH31" s="20">
        <f>IF(OR(ISERROR(VLOOKUP($Y$7&amp;$AB31&amp;$Z31,'Comorb data'!$A$3:$AE$170,10,FALSE)),ISBLANK(VLOOKUP($Y$7&amp;$AB31&amp;$Z31,'Comorb data'!$A$3:$AE$170,10,FALSE))),"",VLOOKUP($Y$7&amp;$AB31&amp;$Z31,'Comorb data'!$A$3:$AE$170,10,FALSE))</f>
        <v>1.4471780028943559E-3</v>
      </c>
      <c r="AI31" s="20">
        <f>IF(OR(ISERROR(VLOOKUP($Y$7&amp;$AB31&amp;$Z31,'Comorb data'!$A$3:$AE$170,11,FALSE)),ISBLANK(VLOOKUP($Y$7&amp;$AB31&amp;$Z31,'Comorb data'!$A$3:$AE$170,11,FALSE))),"",VLOOKUP($Y$7&amp;$AB31&amp;$Z31,'Comorb data'!$A$3:$AE$170,11,FALSE))</f>
        <v>9.1172214182344433E-2</v>
      </c>
      <c r="AJ31" s="20">
        <f>IF(OR(ISERROR(VLOOKUP($Y$7&amp;$AB31&amp;$Z31,'Comorb data'!$A$3:$AE$170,12,FALSE)),ISBLANK(VLOOKUP($Y$7&amp;$AB31&amp;$Z31,'Comorb data'!$A$3:$AE$170,12,FALSE))),"",VLOOKUP($Y$7&amp;$AB31&amp;$Z31,'Comorb data'!$A$3:$AE$170,12,FALSE))</f>
        <v>0.10130246020260492</v>
      </c>
    </row>
    <row r="32" spans="1:36" ht="15.75" thickBot="1" x14ac:dyDescent="0.3">
      <c r="Y32" s="25"/>
      <c r="Z32" s="25" t="s">
        <v>40</v>
      </c>
      <c r="AA32" s="25"/>
      <c r="AB32" s="25" t="s">
        <v>1</v>
      </c>
      <c r="AC32" s="20">
        <f>IF(OR(ISERROR(VLOOKUP($Y$7&amp;$AB32&amp;$Z32,'Comorb data'!$A$3:$AE$170,5,FALSE)),ISBLANK(VLOOKUP($Y$7&amp;$AB32&amp;$Z32,'Comorb data'!$A$3:$AE$170,5,FALSE))),"",VLOOKUP($Y$7&amp;$AB32&amp;$Z32,'Comorb data'!$A$3:$AE$170,5,FALSE))</f>
        <v>0.17563739376770537</v>
      </c>
      <c r="AD32" s="20">
        <f>IF(OR(ISERROR(VLOOKUP($Y$7&amp;$AB32&amp;$Z32,'Comorb data'!$A$3:$AE$170,6,FALSE)),ISBLANK(VLOOKUP($Y$7&amp;$AB32&amp;$Z32,'Comorb data'!$A$3:$AE$170,6,FALSE))),"",VLOOKUP($Y$7&amp;$AB32&amp;$Z32,'Comorb data'!$A$3:$AE$170,6,FALSE))</f>
        <v>1.3534781240163676E-2</v>
      </c>
      <c r="AE32" s="20">
        <f>IF(OR(ISERROR(VLOOKUP($Y$7&amp;$AB32&amp;$Z32,'Comorb data'!$A$3:$AE$170,7,FALSE)),ISBLANK(VLOOKUP($Y$7&amp;$AB32&amp;$Z32,'Comorb data'!$A$3:$AE$170,7,FALSE))),"",VLOOKUP($Y$7&amp;$AB32&amp;$Z32,'Comorb data'!$A$3:$AE$170,7,FALSE))</f>
        <v>2.7069562480327353E-2</v>
      </c>
      <c r="AF32" s="20">
        <f>IF(OR(ISERROR(VLOOKUP($Y$7&amp;$AB32&amp;$Z32,'Comorb data'!$A$3:$AE$170,8,FALSE)),ISBLANK(VLOOKUP($Y$7&amp;$AB32&amp;$Z32,'Comorb data'!$A$3:$AE$170,8,FALSE))),"",VLOOKUP($Y$7&amp;$AB32&amp;$Z32,'Comorb data'!$A$3:$AE$170,8,FALSE))</f>
        <v>2.2662889518413599E-2</v>
      </c>
      <c r="AG32" s="20">
        <f>IF(OR(ISERROR(VLOOKUP($Y$7&amp;$AB32&amp;$Z32,'Comorb data'!$A$3:$AE$170,9,FALSE)),ISBLANK(VLOOKUP($Y$7&amp;$AB32&amp;$Z32,'Comorb data'!$A$3:$AE$170,9,FALSE))),"",VLOOKUP($Y$7&amp;$AB32&amp;$Z32,'Comorb data'!$A$3:$AE$170,9,FALSE))</f>
        <v>0.20081838212149827</v>
      </c>
      <c r="AH32" s="20">
        <f>IF(OR(ISERROR(VLOOKUP($Y$7&amp;$AB32&amp;$Z32,'Comorb data'!$A$3:$AE$170,10,FALSE)),ISBLANK(VLOOKUP($Y$7&amp;$AB32&amp;$Z32,'Comorb data'!$A$3:$AE$170,10,FALSE))),"",VLOOKUP($Y$7&amp;$AB32&amp;$Z32,'Comorb data'!$A$3:$AE$170,10,FALSE))</f>
        <v>5.9804847340258109E-3</v>
      </c>
      <c r="AI32" s="20">
        <f>IF(OR(ISERROR(VLOOKUP($Y$7&amp;$AB32&amp;$Z32,'Comorb data'!$A$3:$AE$170,11,FALSE)),ISBLANK(VLOOKUP($Y$7&amp;$AB32&amp;$Z32,'Comorb data'!$A$3:$AE$170,11,FALSE))),"",VLOOKUP($Y$7&amp;$AB32&amp;$Z32,'Comorb data'!$A$3:$AE$170,11,FALSE))</f>
        <v>0.49071451054453885</v>
      </c>
      <c r="AJ32" s="20">
        <f>IF(OR(ISERROR(VLOOKUP($Y$7&amp;$AB32&amp;$Z32,'Comorb data'!$A$3:$AE$170,12,FALSE)),ISBLANK(VLOOKUP($Y$7&amp;$AB32&amp;$Z32,'Comorb data'!$A$3:$AE$170,12,FALSE))),"",VLOOKUP($Y$7&amp;$AB32&amp;$Z32,'Comorb data'!$A$3:$AE$170,12,FALSE))</f>
        <v>6.3581995593327043E-2</v>
      </c>
    </row>
    <row r="33" spans="1:50" ht="16.5" thickBot="1" x14ac:dyDescent="0.3">
      <c r="A33" s="7"/>
      <c r="B33" s="7"/>
      <c r="Y33" s="25"/>
      <c r="Z33" s="25" t="s">
        <v>40</v>
      </c>
      <c r="AA33" s="25"/>
      <c r="AB33" s="25" t="s">
        <v>2</v>
      </c>
      <c r="AC33" s="20">
        <f>IF(OR(ISERROR(VLOOKUP($Y$7&amp;$AB33&amp;$Z33,'Comorb data'!$A$3:$AE$170,5,FALSE)),ISBLANK(VLOOKUP($Y$7&amp;$AB33&amp;$Z33,'Comorb data'!$A$3:$AE$170,5,FALSE))),"",VLOOKUP($Y$7&amp;$AB33&amp;$Z33,'Comorb data'!$A$3:$AE$170,5,FALSE))</f>
        <v>0.22733812949640289</v>
      </c>
      <c r="AD33" s="20">
        <f>IF(OR(ISERROR(VLOOKUP($Y$7&amp;$AB33&amp;$Z33,'Comorb data'!$A$3:$AE$170,6,FALSE)),ISBLANK(VLOOKUP($Y$7&amp;$AB33&amp;$Z33,'Comorb data'!$A$3:$AE$170,6,FALSE))),"",VLOOKUP($Y$7&amp;$AB33&amp;$Z33,'Comorb data'!$A$3:$AE$170,6,FALSE))</f>
        <v>5.4676258992805753E-2</v>
      </c>
      <c r="AE33" s="20">
        <f>IF(OR(ISERROR(VLOOKUP($Y$7&amp;$AB33&amp;$Z33,'Comorb data'!$A$3:$AE$170,7,FALSE)),ISBLANK(VLOOKUP($Y$7&amp;$AB33&amp;$Z33,'Comorb data'!$A$3:$AE$170,7,FALSE))),"",VLOOKUP($Y$7&amp;$AB33&amp;$Z33,'Comorb data'!$A$3:$AE$170,7,FALSE))</f>
        <v>4.8920863309352518E-2</v>
      </c>
      <c r="AF33" s="20">
        <f>IF(OR(ISERROR(VLOOKUP($Y$7&amp;$AB33&amp;$Z33,'Comorb data'!$A$3:$AE$170,8,FALSE)),ISBLANK(VLOOKUP($Y$7&amp;$AB33&amp;$Z33,'Comorb data'!$A$3:$AE$170,8,FALSE))),"",VLOOKUP($Y$7&amp;$AB33&amp;$Z33,'Comorb data'!$A$3:$AE$170,8,FALSE))</f>
        <v>3.5971223021582732E-2</v>
      </c>
      <c r="AG33" s="20">
        <f>IF(OR(ISERROR(VLOOKUP($Y$7&amp;$AB33&amp;$Z33,'Comorb data'!$A$3:$AE$170,9,FALSE)),ISBLANK(VLOOKUP($Y$7&amp;$AB33&amp;$Z33,'Comorb data'!$A$3:$AE$170,9,FALSE))),"",VLOOKUP($Y$7&amp;$AB33&amp;$Z33,'Comorb data'!$A$3:$AE$170,9,FALSE))</f>
        <v>0.17122302158273381</v>
      </c>
      <c r="AH33" s="20">
        <f>IF(OR(ISERROR(VLOOKUP($Y$7&amp;$AB33&amp;$Z33,'Comorb data'!$A$3:$AE$170,10,FALSE)),ISBLANK(VLOOKUP($Y$7&amp;$AB33&amp;$Z33,'Comorb data'!$A$3:$AE$170,10,FALSE))),"",VLOOKUP($Y$7&amp;$AB33&amp;$Z33,'Comorb data'!$A$3:$AE$170,10,FALSE))</f>
        <v>2.0143884892086329E-2</v>
      </c>
      <c r="AI33" s="20">
        <f>IF(OR(ISERROR(VLOOKUP($Y$7&amp;$AB33&amp;$Z33,'Comorb data'!$A$3:$AE$170,11,FALSE)),ISBLANK(VLOOKUP($Y$7&amp;$AB33&amp;$Z33,'Comorb data'!$A$3:$AE$170,11,FALSE))),"",VLOOKUP($Y$7&amp;$AB33&amp;$Z33,'Comorb data'!$A$3:$AE$170,11,FALSE))</f>
        <v>0.3985611510791367</v>
      </c>
      <c r="AJ33" s="20">
        <f>IF(OR(ISERROR(VLOOKUP($Y$7&amp;$AB33&amp;$Z33,'Comorb data'!$A$3:$AE$170,12,FALSE)),ISBLANK(VLOOKUP($Y$7&amp;$AB33&amp;$Z33,'Comorb data'!$A$3:$AE$170,12,FALSE))),"",VLOOKUP($Y$7&amp;$AB33&amp;$Z33,'Comorb data'!$A$3:$AE$170,12,FALSE))</f>
        <v>4.3165467625899283E-2</v>
      </c>
      <c r="AK33" s="111" t="s">
        <v>129</v>
      </c>
      <c r="AL33" s="112"/>
      <c r="AM33" s="112"/>
      <c r="AN33" s="112"/>
      <c r="AO33" s="112"/>
      <c r="AP33" s="112"/>
      <c r="AQ33" s="112"/>
      <c r="AR33" s="112"/>
      <c r="AS33" s="112"/>
      <c r="AT33" s="112"/>
      <c r="AU33" s="112"/>
      <c r="AV33" s="112"/>
      <c r="AW33" s="112"/>
      <c r="AX33" s="113"/>
    </row>
    <row r="34" spans="1:50" x14ac:dyDescent="0.25">
      <c r="B34" s="11"/>
      <c r="Y34" s="25"/>
      <c r="Z34" s="25" t="s">
        <v>40</v>
      </c>
      <c r="AA34" s="25"/>
      <c r="AB34" s="25" t="s">
        <v>32</v>
      </c>
      <c r="AC34" s="20">
        <f>IF(OR(ISERROR(VLOOKUP($Y$7&amp;$AB34&amp;$Z34,'Comorb data'!$A$3:$AE$170,5,FALSE)),ISBLANK(VLOOKUP($Y$7&amp;$AB34&amp;$Z34,'Comorb data'!$A$3:$AE$170,5,FALSE))),"",VLOOKUP($Y$7&amp;$AB34&amp;$Z34,'Comorb data'!$A$3:$AE$170,5,FALSE))</f>
        <v>0.1761006289308176</v>
      </c>
      <c r="AD34" s="20">
        <f>IF(OR(ISERROR(VLOOKUP($Y$7&amp;$AB34&amp;$Z34,'Comorb data'!$A$3:$AE$170,6,FALSE)),ISBLANK(VLOOKUP($Y$7&amp;$AB34&amp;$Z34,'Comorb data'!$A$3:$AE$170,6,FALSE))),"",VLOOKUP($Y$7&amp;$AB34&amp;$Z34,'Comorb data'!$A$3:$AE$170,6,FALSE))</f>
        <v>4.40251572327044E-2</v>
      </c>
      <c r="AE34" s="20">
        <f>IF(OR(ISERROR(VLOOKUP($Y$7&amp;$AB34&amp;$Z34,'Comorb data'!$A$3:$AE$170,7,FALSE)),ISBLANK(VLOOKUP($Y$7&amp;$AB34&amp;$Z34,'Comorb data'!$A$3:$AE$170,7,FALSE))),"",VLOOKUP($Y$7&amp;$AB34&amp;$Z34,'Comorb data'!$A$3:$AE$170,7,FALSE))</f>
        <v>2.20125786163522E-2</v>
      </c>
      <c r="AF34" s="20">
        <f>IF(OR(ISERROR(VLOOKUP($Y$7&amp;$AB34&amp;$Z34,'Comorb data'!$A$3:$AE$170,8,FALSE)),ISBLANK(VLOOKUP($Y$7&amp;$AB34&amp;$Z34,'Comorb data'!$A$3:$AE$170,8,FALSE))),"",VLOOKUP($Y$7&amp;$AB34&amp;$Z34,'Comorb data'!$A$3:$AE$170,8,FALSE))</f>
        <v>6.9182389937106917E-2</v>
      </c>
      <c r="AG34" s="20">
        <f>IF(OR(ISERROR(VLOOKUP($Y$7&amp;$AB34&amp;$Z34,'Comorb data'!$A$3:$AE$170,9,FALSE)),ISBLANK(VLOOKUP($Y$7&amp;$AB34&amp;$Z34,'Comorb data'!$A$3:$AE$170,9,FALSE))),"",VLOOKUP($Y$7&amp;$AB34&amp;$Z34,'Comorb data'!$A$3:$AE$170,9,FALSE))</f>
        <v>0.21698113207547171</v>
      </c>
      <c r="AH34" s="20">
        <f>IF(OR(ISERROR(VLOOKUP($Y$7&amp;$AB34&amp;$Z34,'Comorb data'!$A$3:$AE$170,10,FALSE)),ISBLANK(VLOOKUP($Y$7&amp;$AB34&amp;$Z34,'Comorb data'!$A$3:$AE$170,10,FALSE))),"",VLOOKUP($Y$7&amp;$AB34&amp;$Z34,'Comorb data'!$A$3:$AE$170,10,FALSE))</f>
        <v>1.8867924528301886E-2</v>
      </c>
      <c r="AI34" s="20">
        <f>IF(OR(ISERROR(VLOOKUP($Y$7&amp;$AB34&amp;$Z34,'Comorb data'!$A$3:$AE$170,11,FALSE)),ISBLANK(VLOOKUP($Y$7&amp;$AB34&amp;$Z34,'Comorb data'!$A$3:$AE$170,11,FALSE))),"",VLOOKUP($Y$7&amp;$AB34&amp;$Z34,'Comorb data'!$A$3:$AE$170,11,FALSE))</f>
        <v>0.36792452830188677</v>
      </c>
      <c r="AJ34" s="20">
        <f>IF(OR(ISERROR(VLOOKUP($Y$7&amp;$AB34&amp;$Z34,'Comorb data'!$A$3:$AE$170,12,FALSE)),ISBLANK(VLOOKUP($Y$7&amp;$AB34&amp;$Z34,'Comorb data'!$A$3:$AE$170,12,FALSE))),"",VLOOKUP($Y$7&amp;$AB34&amp;$Z34,'Comorb data'!$A$3:$AE$170,12,FALSE))</f>
        <v>8.4905660377358486E-2</v>
      </c>
    </row>
    <row r="35" spans="1:50" ht="15.75" x14ac:dyDescent="0.25">
      <c r="A35" s="7"/>
      <c r="B35" s="7"/>
      <c r="Y35" s="25"/>
      <c r="Z35" s="25" t="s">
        <v>40</v>
      </c>
      <c r="AA35" s="25"/>
      <c r="AB35" s="25" t="s">
        <v>3</v>
      </c>
      <c r="AC35" s="20">
        <f>IF(OR(ISERROR(VLOOKUP($Y$7&amp;$AB35&amp;$Z35,'Comorb data'!$A$3:$AE$170,5,FALSE)),ISBLANK(VLOOKUP($Y$7&amp;$AB35&amp;$Z35,'Comorb data'!$A$3:$AE$170,5,FALSE))),"",VLOOKUP($Y$7&amp;$AB35&amp;$Z35,'Comorb data'!$A$3:$AE$170,5,FALSE))</f>
        <v>7.4782608695652175E-2</v>
      </c>
      <c r="AD35" s="20">
        <f>IF(OR(ISERROR(VLOOKUP($Y$7&amp;$AB35&amp;$Z35,'Comorb data'!$A$3:$AE$170,6,FALSE)),ISBLANK(VLOOKUP($Y$7&amp;$AB35&amp;$Z35,'Comorb data'!$A$3:$AE$170,6,FALSE))),"",VLOOKUP($Y$7&amp;$AB35&amp;$Z35,'Comorb data'!$A$3:$AE$170,6,FALSE))</f>
        <v>0.04</v>
      </c>
      <c r="AE35" s="20">
        <f>IF(OR(ISERROR(VLOOKUP($Y$7&amp;$AB35&amp;$Z35,'Comorb data'!$A$3:$AE$170,7,FALSE)),ISBLANK(VLOOKUP($Y$7&amp;$AB35&amp;$Z35,'Comorb data'!$A$3:$AE$170,7,FALSE))),"",VLOOKUP($Y$7&amp;$AB35&amp;$Z35,'Comorb data'!$A$3:$AE$170,7,FALSE))</f>
        <v>3.826086956521739E-2</v>
      </c>
      <c r="AF35" s="20">
        <f>IF(OR(ISERROR(VLOOKUP($Y$7&amp;$AB35&amp;$Z35,'Comorb data'!$A$3:$AE$170,8,FALSE)),ISBLANK(VLOOKUP($Y$7&amp;$AB35&amp;$Z35,'Comorb data'!$A$3:$AE$170,8,FALSE))),"",VLOOKUP($Y$7&amp;$AB35&amp;$Z35,'Comorb data'!$A$3:$AE$170,8,FALSE))</f>
        <v>1.0434782608695653E-2</v>
      </c>
      <c r="AG35" s="20">
        <f>IF(OR(ISERROR(VLOOKUP($Y$7&amp;$AB35&amp;$Z35,'Comorb data'!$A$3:$AE$170,9,FALSE)),ISBLANK(VLOOKUP($Y$7&amp;$AB35&amp;$Z35,'Comorb data'!$A$3:$AE$170,9,FALSE))),"",VLOOKUP($Y$7&amp;$AB35&amp;$Z35,'Comorb data'!$A$3:$AE$170,9,FALSE))</f>
        <v>5.2173913043478258E-2</v>
      </c>
      <c r="AH35" s="20">
        <f>IF(OR(ISERROR(VLOOKUP($Y$7&amp;$AB35&amp;$Z35,'Comorb data'!$A$3:$AE$170,10,FALSE)),ISBLANK(VLOOKUP($Y$7&amp;$AB35&amp;$Z35,'Comorb data'!$A$3:$AE$170,10,FALSE))),"",VLOOKUP($Y$7&amp;$AB35&amp;$Z35,'Comorb data'!$A$3:$AE$170,10,FALSE))</f>
        <v>1.0434782608695653E-2</v>
      </c>
      <c r="AI35" s="20">
        <f>IF(OR(ISERROR(VLOOKUP($Y$7&amp;$AB35&amp;$Z35,'Comorb data'!$A$3:$AE$170,11,FALSE)),ISBLANK(VLOOKUP($Y$7&amp;$AB35&amp;$Z35,'Comorb data'!$A$3:$AE$170,11,FALSE))),"",VLOOKUP($Y$7&amp;$AB35&amp;$Z35,'Comorb data'!$A$3:$AE$170,11,FALSE))</f>
        <v>0.768695652173913</v>
      </c>
      <c r="AJ35" s="20">
        <f>IF(OR(ISERROR(VLOOKUP($Y$7&amp;$AB35&amp;$Z35,'Comorb data'!$A$3:$AE$170,12,FALSE)),ISBLANK(VLOOKUP($Y$7&amp;$AB35&amp;$Z35,'Comorb data'!$A$3:$AE$170,12,FALSE))),"",VLOOKUP($Y$7&amp;$AB35&amp;$Z35,'Comorb data'!$A$3:$AE$170,12,FALSE))</f>
        <v>5.2173913043478265E-3</v>
      </c>
    </row>
    <row r="36" spans="1:50" x14ac:dyDescent="0.25">
      <c r="Y36" s="25"/>
      <c r="Z36" s="25" t="s">
        <v>40</v>
      </c>
      <c r="AA36" s="25"/>
      <c r="AB36" s="25" t="s">
        <v>4</v>
      </c>
      <c r="AC36" s="20">
        <f>IF(OR(ISERROR(VLOOKUP($Y$7&amp;$AB36&amp;$Z36,'Comorb data'!$A$3:$AE$170,5,FALSE)),ISBLANK(VLOOKUP($Y$7&amp;$AB36&amp;$Z36,'Comorb data'!$A$3:$AE$170,5,FALSE))),"",VLOOKUP($Y$7&amp;$AB36&amp;$Z36,'Comorb data'!$A$3:$AE$170,5,FALSE))</f>
        <v>0.25490196078431371</v>
      </c>
      <c r="AD36" s="20">
        <f>IF(OR(ISERROR(VLOOKUP($Y$7&amp;$AB36&amp;$Z36,'Comorb data'!$A$3:$AE$170,6,FALSE)),ISBLANK(VLOOKUP($Y$7&amp;$AB36&amp;$Z36,'Comorb data'!$A$3:$AE$170,6,FALSE))),"",VLOOKUP($Y$7&amp;$AB36&amp;$Z36,'Comorb data'!$A$3:$AE$170,6,FALSE))</f>
        <v>1.9607843137254902E-2</v>
      </c>
      <c r="AE36" s="20">
        <f>IF(OR(ISERROR(VLOOKUP($Y$7&amp;$AB36&amp;$Z36,'Comorb data'!$A$3:$AE$170,7,FALSE)),ISBLANK(VLOOKUP($Y$7&amp;$AB36&amp;$Z36,'Comorb data'!$A$3:$AE$170,7,FALSE))),"",VLOOKUP($Y$7&amp;$AB36&amp;$Z36,'Comorb data'!$A$3:$AE$170,7,FALSE))</f>
        <v>5.8823529411764705E-2</v>
      </c>
      <c r="AF36" s="20">
        <f>IF(OR(ISERROR(VLOOKUP($Y$7&amp;$AB36&amp;$Z36,'Comorb data'!$A$3:$AE$170,8,FALSE)),ISBLANK(VLOOKUP($Y$7&amp;$AB36&amp;$Z36,'Comorb data'!$A$3:$AE$170,8,FALSE))),"",VLOOKUP($Y$7&amp;$AB36&amp;$Z36,'Comorb data'!$A$3:$AE$170,8,FALSE))</f>
        <v>1.9607843137254902E-2</v>
      </c>
      <c r="AG36" s="20">
        <f>IF(OR(ISERROR(VLOOKUP($Y$7&amp;$AB36&amp;$Z36,'Comorb data'!$A$3:$AE$170,9,FALSE)),ISBLANK(VLOOKUP($Y$7&amp;$AB36&amp;$Z36,'Comorb data'!$A$3:$AE$170,9,FALSE))),"",VLOOKUP($Y$7&amp;$AB36&amp;$Z36,'Comorb data'!$A$3:$AE$170,9,FALSE))</f>
        <v>0.19607843137254902</v>
      </c>
      <c r="AH36" s="20">
        <f>IF(OR(ISERROR(VLOOKUP($Y$7&amp;$AB36&amp;$Z36,'Comorb data'!$A$3:$AE$170,10,FALSE)),ISBLANK(VLOOKUP($Y$7&amp;$AB36&amp;$Z36,'Comorb data'!$A$3:$AE$170,10,FALSE))),"",VLOOKUP($Y$7&amp;$AB36&amp;$Z36,'Comorb data'!$A$3:$AE$170,10,FALSE))</f>
        <v>0</v>
      </c>
      <c r="AI36" s="20">
        <f>IF(OR(ISERROR(VLOOKUP($Y$7&amp;$AB36&amp;$Z36,'Comorb data'!$A$3:$AE$170,11,FALSE)),ISBLANK(VLOOKUP($Y$7&amp;$AB36&amp;$Z36,'Comorb data'!$A$3:$AE$170,11,FALSE))),"",VLOOKUP($Y$7&amp;$AB36&amp;$Z36,'Comorb data'!$A$3:$AE$170,11,FALSE))</f>
        <v>0.39215686274509803</v>
      </c>
      <c r="AJ36" s="20">
        <f>IF(OR(ISERROR(VLOOKUP($Y$7&amp;$AB36&amp;$Z36,'Comorb data'!$A$3:$AE$170,12,FALSE)),ISBLANK(VLOOKUP($Y$7&amp;$AB36&amp;$Z36,'Comorb data'!$A$3:$AE$170,12,FALSE))),"",VLOOKUP($Y$7&amp;$AB36&amp;$Z36,'Comorb data'!$A$3:$AE$170,12,FALSE))</f>
        <v>5.8823529411764705E-2</v>
      </c>
    </row>
    <row r="37" spans="1:50" ht="15.75" x14ac:dyDescent="0.25">
      <c r="A37" s="7"/>
      <c r="B37" s="7"/>
      <c r="Y37" s="25"/>
      <c r="Z37" s="25" t="s">
        <v>40</v>
      </c>
      <c r="AA37" s="25"/>
      <c r="AB37" s="25" t="s">
        <v>34</v>
      </c>
      <c r="AC37" s="20">
        <f>IF(OR(ISERROR(VLOOKUP($Y$7&amp;$AB37&amp;$Z37,'Comorb data'!$A$3:$AE$170,5,FALSE)),ISBLANK(VLOOKUP($Y$7&amp;$AB37&amp;$Z37,'Comorb data'!$A$3:$AE$170,5,FALSE))),"",VLOOKUP($Y$7&amp;$AB37&amp;$Z37,'Comorb data'!$A$3:$AE$170,5,FALSE))</f>
        <v>0.17958961321953876</v>
      </c>
      <c r="AD37" s="20">
        <f>IF(OR(ISERROR(VLOOKUP($Y$7&amp;$AB37&amp;$Z37,'Comorb data'!$A$3:$AE$170,6,FALSE)),ISBLANK(VLOOKUP($Y$7&amp;$AB37&amp;$Z37,'Comorb data'!$A$3:$AE$170,6,FALSE))),"",VLOOKUP($Y$7&amp;$AB37&amp;$Z37,'Comorb data'!$A$3:$AE$170,6,FALSE))</f>
        <v>2.3243145088069728E-2</v>
      </c>
      <c r="AE37" s="20">
        <f>IF(OR(ISERROR(VLOOKUP($Y$7&amp;$AB37&amp;$Z37,'Comorb data'!$A$3:$AE$170,7,FALSE)),ISBLANK(VLOOKUP($Y$7&amp;$AB37&amp;$Z37,'Comorb data'!$A$3:$AE$170,7,FALSE))),"",VLOOKUP($Y$7&amp;$AB37&amp;$Z37,'Comorb data'!$A$3:$AE$170,7,FALSE))</f>
        <v>2.8327583076084982E-2</v>
      </c>
      <c r="AF37" s="20">
        <f>IF(OR(ISERROR(VLOOKUP($Y$7&amp;$AB37&amp;$Z37,'Comorb data'!$A$3:$AE$170,8,FALSE)),ISBLANK(VLOOKUP($Y$7&amp;$AB37&amp;$Z37,'Comorb data'!$A$3:$AE$170,8,FALSE))),"",VLOOKUP($Y$7&amp;$AB37&amp;$Z37,'Comorb data'!$A$3:$AE$170,8,FALSE))</f>
        <v>2.59669511530779E-2</v>
      </c>
      <c r="AG37" s="20">
        <f>IF(OR(ISERROR(VLOOKUP($Y$7&amp;$AB37&amp;$Z37,'Comorb data'!$A$3:$AE$170,9,FALSE)),ISBLANK(VLOOKUP($Y$7&amp;$AB37&amp;$Z37,'Comorb data'!$A$3:$AE$170,9,FALSE))),"",VLOOKUP($Y$7&amp;$AB37&amp;$Z37,'Comorb data'!$A$3:$AE$170,9,FALSE))</f>
        <v>0.22371527147267115</v>
      </c>
      <c r="AH37" s="20">
        <f>IF(OR(ISERROR(VLOOKUP($Y$7&amp;$AB37&amp;$Z37,'Comorb data'!$A$3:$AE$170,10,FALSE)),ISBLANK(VLOOKUP($Y$7&amp;$AB37&amp;$Z37,'Comorb data'!$A$3:$AE$170,10,FALSE))),"",VLOOKUP($Y$7&amp;$AB37&amp;$Z37,'Comorb data'!$A$3:$AE$170,10,FALSE))</f>
        <v>8.3530052660250598E-3</v>
      </c>
      <c r="AI37" s="20">
        <f>IF(OR(ISERROR(VLOOKUP($Y$7&amp;$AB37&amp;$Z37,'Comorb data'!$A$3:$AE$170,11,FALSE)),ISBLANK(VLOOKUP($Y$7&amp;$AB37&amp;$Z37,'Comorb data'!$A$3:$AE$170,11,FALSE))),"",VLOOKUP($Y$7&amp;$AB37&amp;$Z37,'Comorb data'!$A$3:$AE$170,11,FALSE))</f>
        <v>0.44997276193934993</v>
      </c>
      <c r="AJ37" s="20">
        <f>IF(OR(ISERROR(VLOOKUP($Y$7&amp;$AB37&amp;$Z37,'Comorb data'!$A$3:$AE$170,12,FALSE)),ISBLANK(VLOOKUP($Y$7&amp;$AB37&amp;$Z37,'Comorb data'!$A$3:$AE$170,12,FALSE))),"",VLOOKUP($Y$7&amp;$AB37&amp;$Z37,'Comorb data'!$A$3:$AE$170,12,FALSE))</f>
        <v>6.0831668785182494E-2</v>
      </c>
    </row>
    <row r="38" spans="1:50" x14ac:dyDescent="0.25">
      <c r="Y38" s="25"/>
      <c r="Z38" s="25"/>
      <c r="AA38" s="25"/>
      <c r="AB38" s="25"/>
      <c r="AC38" s="25"/>
      <c r="AD38" s="25"/>
      <c r="AE38" s="25"/>
      <c r="AF38" s="25"/>
      <c r="AG38" s="25"/>
      <c r="AH38" s="25"/>
      <c r="AI38" s="25"/>
      <c r="AJ38" s="25"/>
    </row>
    <row r="39" spans="1:50" ht="87.75" x14ac:dyDescent="0.25">
      <c r="Y39" s="25" t="s">
        <v>41</v>
      </c>
      <c r="Z39" s="25" t="s">
        <v>37</v>
      </c>
      <c r="AA39" s="25" t="s">
        <v>121</v>
      </c>
      <c r="AB39" s="25" t="s">
        <v>46</v>
      </c>
      <c r="AC39" s="19" t="s">
        <v>22</v>
      </c>
      <c r="AD39" s="19" t="s">
        <v>23</v>
      </c>
      <c r="AE39" s="19" t="s">
        <v>24</v>
      </c>
      <c r="AF39" s="19" t="s">
        <v>25</v>
      </c>
      <c r="AG39" s="19" t="s">
        <v>26</v>
      </c>
      <c r="AH39" s="19" t="s">
        <v>27</v>
      </c>
      <c r="AI39" s="19" t="s">
        <v>28</v>
      </c>
      <c r="AJ39" s="19" t="s">
        <v>117</v>
      </c>
    </row>
    <row r="40" spans="1:50" ht="15.75" x14ac:dyDescent="0.25">
      <c r="A40" s="7"/>
      <c r="B40" s="7"/>
      <c r="Y40" s="25" t="str">
        <f>Lookups!A10</f>
        <v>Breast</v>
      </c>
      <c r="Z40" s="25" t="s">
        <v>0</v>
      </c>
      <c r="AA40" s="25" t="s">
        <v>0</v>
      </c>
      <c r="AB40" s="67">
        <v>0</v>
      </c>
      <c r="AC40" s="20">
        <f>IF(OR(ISERROR(VLOOKUP($Y$40&amp;$Z40&amp;$AB40,'Comorb data'!$A$3:$AE$170,5,FALSE)),ISBLANK(VLOOKUP($Y$40&amp;$Z40&amp;$AB40,'Comorb data'!$A$3:$AE$170,5,FALSE))),"",VLOOKUP($Y$40&amp;$Z40&amp;$AB40,'Comorb data'!$A$3:$AE$170,5,FALSE))</f>
        <v>0.13998006566604126</v>
      </c>
      <c r="AD40" s="20">
        <f>IF(OR(ISERROR(VLOOKUP($Y$40&amp;$Z40&amp;$AB40,'Comorb data'!$A$3:$AE$170,6,FALSE)),ISBLANK(VLOOKUP($Y$40&amp;$Z40&amp;$AB40,'Comorb data'!$A$3:$AE$170,6,FALSE))),"",VLOOKUP($Y$40&amp;$Z40&amp;$AB40,'Comorb data'!$A$3:$AE$170,6,FALSE))</f>
        <v>2.9315196998123826E-3</v>
      </c>
      <c r="AE40" s="20">
        <f>IF(OR(ISERROR(VLOOKUP($Y$40&amp;$Z40&amp;$AB40,'Comorb data'!$A$3:$AE$170,7,FALSE)),ISBLANK(VLOOKUP($Y$40&amp;$Z40&amp;$AB40,'Comorb data'!$A$3:$AE$170,7,FALSE))),"",VLOOKUP($Y$40&amp;$Z40&amp;$AB40,'Comorb data'!$A$3:$AE$170,7,FALSE))</f>
        <v>1.0055112570356474E-2</v>
      </c>
      <c r="AF40" s="20">
        <f>IF(OR(ISERROR(VLOOKUP($Y$40&amp;$Z40&amp;$AB40,'Comorb data'!$A$3:$AE$170,8,FALSE)),ISBLANK(VLOOKUP($Y$40&amp;$Z40&amp;$AB40,'Comorb data'!$A$3:$AE$170,8,FALSE))),"",VLOOKUP($Y$40&amp;$Z40&amp;$AB40,'Comorb data'!$A$3:$AE$170,8,FALSE))</f>
        <v>3.8637429643527205E-2</v>
      </c>
      <c r="AG40" s="20">
        <f>IF(OR(ISERROR(VLOOKUP($Y$40&amp;$Z40&amp;$AB40,'Comorb data'!$A$3:$AE$170,9,FALSE)),ISBLANK(VLOOKUP($Y$40&amp;$Z40&amp;$AB40,'Comorb data'!$A$3:$AE$170,9,FALSE))),"",VLOOKUP($Y$40&amp;$Z40&amp;$AB40,'Comorb data'!$A$3:$AE$170,9,FALSE))</f>
        <v>0.58562969043151969</v>
      </c>
      <c r="AH40" s="20">
        <f>IF(OR(ISERROR(VLOOKUP($Y$40&amp;$Z40&amp;$AB40,'Comorb data'!$A$3:$AE$170,10,FALSE)),ISBLANK(VLOOKUP($Y$40&amp;$Z40&amp;$AB40,'Comorb data'!$A$3:$AE$170,10,FALSE))),"",VLOOKUP($Y$40&amp;$Z40&amp;$AB40,'Comorb data'!$A$3:$AE$170,10,FALSE))</f>
        <v>3.8989212007504688E-3</v>
      </c>
      <c r="AI40" s="20">
        <f>IF(OR(ISERROR(VLOOKUP($Y$40&amp;$Z40&amp;$AB40,'Comorb data'!$A$3:$AE$170,11,FALSE)),ISBLANK(VLOOKUP($Y$40&amp;$Z40&amp;$AB40,'Comorb data'!$A$3:$AE$170,11,FALSE))),"",VLOOKUP($Y$40&amp;$Z40&amp;$AB40,'Comorb data'!$A$3:$AE$170,11,FALSE))</f>
        <v>1.9318714821763602E-2</v>
      </c>
      <c r="AJ40" s="20">
        <f>IF(OR(ISERROR(VLOOKUP($Y$40&amp;$Z40&amp;$AB40,'Comorb data'!$A$3:$AE$170,12,FALSE)),ISBLANK(VLOOKUP($Y$40&amp;$Z40&amp;$AB40,'Comorb data'!$A$3:$AE$170,12,FALSE))),"",VLOOKUP($Y$40&amp;$Z40&amp;$AB40,'Comorb data'!$A$3:$AE$170,12,FALSE))</f>
        <v>0.1995485459662289</v>
      </c>
    </row>
    <row r="41" spans="1:50" x14ac:dyDescent="0.25">
      <c r="Y41" s="25"/>
      <c r="Z41" s="25" t="s">
        <v>0</v>
      </c>
      <c r="AA41" s="25"/>
      <c r="AB41" s="67">
        <v>1</v>
      </c>
      <c r="AC41" s="20">
        <f>IF(OR(ISERROR(VLOOKUP($Y$40&amp;$Z41&amp;$AB41,'Comorb data'!$A$3:$AE$170,5,FALSE)),ISBLANK(VLOOKUP($Y$40&amp;$Z41&amp;$AB41,'Comorb data'!$A$3:$AE$170,5,FALSE))),"",VLOOKUP($Y$40&amp;$Z41&amp;$AB41,'Comorb data'!$A$3:$AE$170,5,FALSE))</f>
        <v>0.16028253192067374</v>
      </c>
      <c r="AD41" s="20">
        <f>IF(OR(ISERROR(VLOOKUP($Y$40&amp;$Z41&amp;$AB41,'Comorb data'!$A$3:$AE$170,6,FALSE)),ISBLANK(VLOOKUP($Y$40&amp;$Z41&amp;$AB41,'Comorb data'!$A$3:$AE$170,6,FALSE))),"",VLOOKUP($Y$40&amp;$Z41&amp;$AB41,'Comorb data'!$A$3:$AE$170,6,FALSE))</f>
        <v>2.9883183917413748E-3</v>
      </c>
      <c r="AE41" s="20">
        <f>IF(OR(ISERROR(VLOOKUP($Y$40&amp;$Z41&amp;$AB41,'Comorb data'!$A$3:$AE$170,7,FALSE)),ISBLANK(VLOOKUP($Y$40&amp;$Z41&amp;$AB41,'Comorb data'!$A$3:$AE$170,7,FALSE))),"",VLOOKUP($Y$40&amp;$Z41&amp;$AB41,'Comorb data'!$A$3:$AE$170,7,FALSE))</f>
        <v>4.6183102417821243E-3</v>
      </c>
      <c r="AF41" s="20">
        <f>IF(OR(ISERROR(VLOOKUP($Y$40&amp;$Z41&amp;$AB41,'Comorb data'!$A$3:$AE$170,8,FALSE)),ISBLANK(VLOOKUP($Y$40&amp;$Z41&amp;$AB41,'Comorb data'!$A$3:$AE$170,8,FALSE))),"",VLOOKUP($Y$40&amp;$Z41&amp;$AB41,'Comorb data'!$A$3:$AE$170,8,FALSE))</f>
        <v>4.2379788101059496E-2</v>
      </c>
      <c r="AG41" s="20">
        <f>IF(OR(ISERROR(VLOOKUP($Y$40&amp;$Z41&amp;$AB41,'Comorb data'!$A$3:$AE$170,9,FALSE)),ISBLANK(VLOOKUP($Y$40&amp;$Z41&amp;$AB41,'Comorb data'!$A$3:$AE$170,9,FALSE))),"",VLOOKUP($Y$40&amp;$Z41&amp;$AB41,'Comorb data'!$A$3:$AE$170,9,FALSE))</f>
        <v>0.58571040478130942</v>
      </c>
      <c r="AH41" s="20">
        <f>IF(OR(ISERROR(VLOOKUP($Y$40&amp;$Z41&amp;$AB41,'Comorb data'!$A$3:$AE$170,10,FALSE)),ISBLANK(VLOOKUP($Y$40&amp;$Z41&amp;$AB41,'Comorb data'!$A$3:$AE$170,10,FALSE))),"",VLOOKUP($Y$40&amp;$Z41&amp;$AB41,'Comorb data'!$A$3:$AE$170,10,FALSE))</f>
        <v>2.1733224667209996E-3</v>
      </c>
      <c r="AI41" s="20">
        <f>IF(OR(ISERROR(VLOOKUP($Y$40&amp;$Z41&amp;$AB41,'Comorb data'!$A$3:$AE$170,11,FALSE)),ISBLANK(VLOOKUP($Y$40&amp;$Z41&amp;$AB41,'Comorb data'!$A$3:$AE$170,11,FALSE))),"",VLOOKUP($Y$40&amp;$Z41&amp;$AB41,'Comorb data'!$A$3:$AE$170,11,FALSE))</f>
        <v>2.5536538983971745E-2</v>
      </c>
      <c r="AJ41" s="20">
        <f>IF(OR(ISERROR(VLOOKUP($Y$40&amp;$Z41&amp;$AB41,'Comorb data'!$A$3:$AE$170,12,FALSE)),ISBLANK(VLOOKUP($Y$40&amp;$Z41&amp;$AB41,'Comorb data'!$A$3:$AE$170,12,FALSE))),"",VLOOKUP($Y$40&amp;$Z41&amp;$AB41,'Comorb data'!$A$3:$AE$170,12,FALSE))</f>
        <v>0.17631078511274109</v>
      </c>
    </row>
    <row r="42" spans="1:50" ht="15.75" x14ac:dyDescent="0.25">
      <c r="A42" s="7"/>
      <c r="B42" s="7"/>
      <c r="Y42" s="25"/>
      <c r="Z42" s="25" t="s">
        <v>0</v>
      </c>
      <c r="AA42" s="25"/>
      <c r="AB42" s="67">
        <v>2</v>
      </c>
      <c r="AC42" s="20">
        <f>IF(OR(ISERROR(VLOOKUP($Y$40&amp;$Z42&amp;$AB42,'Comorb data'!$A$3:$AE$170,5,FALSE)),ISBLANK(VLOOKUP($Y$40&amp;$Z42&amp;$AB42,'Comorb data'!$A$3:$AE$170,5,FALSE))),"",VLOOKUP($Y$40&amp;$Z42&amp;$AB42,'Comorb data'!$A$3:$AE$170,5,FALSE))</f>
        <v>0.18169014084507043</v>
      </c>
      <c r="AD42" s="20">
        <f>IF(OR(ISERROR(VLOOKUP($Y$40&amp;$Z42&amp;$AB42,'Comorb data'!$A$3:$AE$170,6,FALSE)),ISBLANK(VLOOKUP($Y$40&amp;$Z42&amp;$AB42,'Comorb data'!$A$3:$AE$170,6,FALSE))),"",VLOOKUP($Y$40&amp;$Z42&amp;$AB42,'Comorb data'!$A$3:$AE$170,6,FALSE))</f>
        <v>4.2253521126760559E-3</v>
      </c>
      <c r="AE42" s="20">
        <f>IF(OR(ISERROR(VLOOKUP($Y$40&amp;$Z42&amp;$AB42,'Comorb data'!$A$3:$AE$170,7,FALSE)),ISBLANK(VLOOKUP($Y$40&amp;$Z42&amp;$AB42,'Comorb data'!$A$3:$AE$170,7,FALSE))),"",VLOOKUP($Y$40&amp;$Z42&amp;$AB42,'Comorb data'!$A$3:$AE$170,7,FALSE))</f>
        <v>9.1549295774647887E-3</v>
      </c>
      <c r="AF42" s="20">
        <f>IF(OR(ISERROR(VLOOKUP($Y$40&amp;$Z42&amp;$AB42,'Comorb data'!$A$3:$AE$170,8,FALSE)),ISBLANK(VLOOKUP($Y$40&amp;$Z42&amp;$AB42,'Comorb data'!$A$3:$AE$170,8,FALSE))),"",VLOOKUP($Y$40&amp;$Z42&amp;$AB42,'Comorb data'!$A$3:$AE$170,8,FALSE))</f>
        <v>3.873239436619718E-2</v>
      </c>
      <c r="AG42" s="20">
        <f>IF(OR(ISERROR(VLOOKUP($Y$40&amp;$Z42&amp;$AB42,'Comorb data'!$A$3:$AE$170,9,FALSE)),ISBLANK(VLOOKUP($Y$40&amp;$Z42&amp;$AB42,'Comorb data'!$A$3:$AE$170,9,FALSE))),"",VLOOKUP($Y$40&amp;$Z42&amp;$AB42,'Comorb data'!$A$3:$AE$170,9,FALSE))</f>
        <v>0.6049295774647887</v>
      </c>
      <c r="AH42" s="20">
        <f>IF(OR(ISERROR(VLOOKUP($Y$40&amp;$Z42&amp;$AB42,'Comorb data'!$A$3:$AE$170,10,FALSE)),ISBLANK(VLOOKUP($Y$40&amp;$Z42&amp;$AB42,'Comorb data'!$A$3:$AE$170,10,FALSE))),"",VLOOKUP($Y$40&amp;$Z42&amp;$AB42,'Comorb data'!$A$3:$AE$170,10,FALSE))</f>
        <v>2.112676056338028E-3</v>
      </c>
      <c r="AI42" s="20">
        <f>IF(OR(ISERROR(VLOOKUP($Y$40&amp;$Z42&amp;$AB42,'Comorb data'!$A$3:$AE$170,11,FALSE)),ISBLANK(VLOOKUP($Y$40&amp;$Z42&amp;$AB42,'Comorb data'!$A$3:$AE$170,11,FALSE))),"",VLOOKUP($Y$40&amp;$Z42&amp;$AB42,'Comorb data'!$A$3:$AE$170,11,FALSE))</f>
        <v>3.6619718309859155E-2</v>
      </c>
      <c r="AJ42" s="20">
        <f>IF(OR(ISERROR(VLOOKUP($Y$40&amp;$Z42&amp;$AB42,'Comorb data'!$A$3:$AE$170,12,FALSE)),ISBLANK(VLOOKUP($Y$40&amp;$Z42&amp;$AB42,'Comorb data'!$A$3:$AE$170,12,FALSE))),"",VLOOKUP($Y$40&amp;$Z42&amp;$AB42,'Comorb data'!$A$3:$AE$170,12,FALSE))</f>
        <v>0.12253521126760564</v>
      </c>
    </row>
    <row r="43" spans="1:50" x14ac:dyDescent="0.25">
      <c r="Y43" s="25"/>
      <c r="Z43" s="25" t="s">
        <v>0</v>
      </c>
      <c r="AA43" s="25"/>
      <c r="AB43" s="67" t="s">
        <v>40</v>
      </c>
      <c r="AC43" s="20">
        <f>IF(OR(ISERROR(VLOOKUP($Y$40&amp;$Z43&amp;$AB43,'Comorb data'!$A$3:$AE$170,5,FALSE)),ISBLANK(VLOOKUP($Y$40&amp;$Z43&amp;$AB43,'Comorb data'!$A$3:$AE$170,5,FALSE))),"",VLOOKUP($Y$40&amp;$Z43&amp;$AB43,'Comorb data'!$A$3:$AE$170,5,FALSE))</f>
        <v>0.23299565846599132</v>
      </c>
      <c r="AD43" s="20">
        <f>IF(OR(ISERROR(VLOOKUP($Y$40&amp;$Z43&amp;$AB43,'Comorb data'!$A$3:$AE$170,6,FALSE)),ISBLANK(VLOOKUP($Y$40&amp;$Z43&amp;$AB43,'Comorb data'!$A$3:$AE$170,6,FALSE))),"",VLOOKUP($Y$40&amp;$Z43&amp;$AB43,'Comorb data'!$A$3:$AE$170,6,FALSE))</f>
        <v>1.3024602026049204E-2</v>
      </c>
      <c r="AE43" s="20">
        <f>IF(OR(ISERROR(VLOOKUP($Y$40&amp;$Z43&amp;$AB43,'Comorb data'!$A$3:$AE$170,7,FALSE)),ISBLANK(VLOOKUP($Y$40&amp;$Z43&amp;$AB43,'Comorb data'!$A$3:$AE$170,7,FALSE))),"",VLOOKUP($Y$40&amp;$Z43&amp;$AB43,'Comorb data'!$A$3:$AE$170,7,FALSE))</f>
        <v>5.7887120115774236E-3</v>
      </c>
      <c r="AF43" s="20">
        <f>IF(OR(ISERROR(VLOOKUP($Y$40&amp;$Z43&amp;$AB43,'Comorb data'!$A$3:$AE$170,8,FALSE)),ISBLANK(VLOOKUP($Y$40&amp;$Z43&amp;$AB43,'Comorb data'!$A$3:$AE$170,8,FALSE))),"",VLOOKUP($Y$40&amp;$Z43&amp;$AB43,'Comorb data'!$A$3:$AE$170,8,FALSE))</f>
        <v>2.4602026049204053E-2</v>
      </c>
      <c r="AG43" s="20">
        <f>IF(OR(ISERROR(VLOOKUP($Y$40&amp;$Z43&amp;$AB43,'Comorb data'!$A$3:$AE$170,9,FALSE)),ISBLANK(VLOOKUP($Y$40&amp;$Z43&amp;$AB43,'Comorb data'!$A$3:$AE$170,9,FALSE))),"",VLOOKUP($Y$40&amp;$Z43&amp;$AB43,'Comorb data'!$A$3:$AE$170,9,FALSE))</f>
        <v>0.52966714905933432</v>
      </c>
      <c r="AH43" s="20">
        <f>IF(OR(ISERROR(VLOOKUP($Y$40&amp;$Z43&amp;$AB43,'Comorb data'!$A$3:$AE$170,10,FALSE)),ISBLANK(VLOOKUP($Y$40&amp;$Z43&amp;$AB43,'Comorb data'!$A$3:$AE$170,10,FALSE))),"",VLOOKUP($Y$40&amp;$Z43&amp;$AB43,'Comorb data'!$A$3:$AE$170,10,FALSE))</f>
        <v>1.4471780028943559E-3</v>
      </c>
      <c r="AI43" s="20">
        <f>IF(OR(ISERROR(VLOOKUP($Y$40&amp;$Z43&amp;$AB43,'Comorb data'!$A$3:$AE$170,11,FALSE)),ISBLANK(VLOOKUP($Y$40&amp;$Z43&amp;$AB43,'Comorb data'!$A$3:$AE$170,11,FALSE))),"",VLOOKUP($Y$40&amp;$Z43&amp;$AB43,'Comorb data'!$A$3:$AE$170,11,FALSE))</f>
        <v>9.1172214182344433E-2</v>
      </c>
      <c r="AJ43" s="20">
        <f>IF(OR(ISERROR(VLOOKUP($Y$40&amp;$Z43&amp;$AB43,'Comorb data'!$A$3:$AE$170,12,FALSE)),ISBLANK(VLOOKUP($Y$40&amp;$Z43&amp;$AB43,'Comorb data'!$A$3:$AE$170,12,FALSE))),"",VLOOKUP($Y$40&amp;$Z43&amp;$AB43,'Comorb data'!$A$3:$AE$170,12,FALSE))</f>
        <v>0.10130246020260492</v>
      </c>
    </row>
    <row r="44" spans="1:50" ht="15.75" x14ac:dyDescent="0.25">
      <c r="A44" s="7"/>
      <c r="B44" s="7"/>
      <c r="Y44" s="25"/>
      <c r="Z44" s="25"/>
      <c r="AA44" s="25"/>
      <c r="AB44" s="67"/>
      <c r="AC44" s="20"/>
      <c r="AD44" s="20"/>
      <c r="AE44" s="20"/>
      <c r="AF44" s="20"/>
      <c r="AG44" s="20"/>
      <c r="AH44" s="20"/>
      <c r="AI44" s="20"/>
      <c r="AJ44" s="20"/>
    </row>
    <row r="45" spans="1:50" x14ac:dyDescent="0.25">
      <c r="Y45" s="25"/>
      <c r="Z45" s="25" t="s">
        <v>1</v>
      </c>
      <c r="AA45" s="25" t="s">
        <v>1</v>
      </c>
      <c r="AB45" s="67">
        <v>0</v>
      </c>
      <c r="AC45" s="20">
        <f>IF(OR(ISERROR(VLOOKUP($Y$40&amp;$Z45&amp;$AB45,'Comorb data'!$A$3:$AE$170,5,FALSE)),ISBLANK(VLOOKUP($Y$40&amp;$Z45&amp;$AB45,'Comorb data'!$A$3:$AE$170,5,FALSE))),"",VLOOKUP($Y$40&amp;$Z45&amp;$AB45,'Comorb data'!$A$3:$AE$170,5,FALSE))</f>
        <v>0.14401047740361328</v>
      </c>
      <c r="AD45" s="20">
        <f>IF(OR(ISERROR(VLOOKUP($Y$40&amp;$Z45&amp;$AB45,'Comorb data'!$A$3:$AE$170,6,FALSE)),ISBLANK(VLOOKUP($Y$40&amp;$Z45&amp;$AB45,'Comorb data'!$A$3:$AE$170,6,FALSE))),"",VLOOKUP($Y$40&amp;$Z45&amp;$AB45,'Comorb data'!$A$3:$AE$170,6,FALSE))</f>
        <v>1.7276951506126768E-2</v>
      </c>
      <c r="AE45" s="20">
        <f>IF(OR(ISERROR(VLOOKUP($Y$40&amp;$Z45&amp;$AB45,'Comorb data'!$A$3:$AE$170,7,FALSE)),ISBLANK(VLOOKUP($Y$40&amp;$Z45&amp;$AB45,'Comorb data'!$A$3:$AE$170,7,FALSE))),"",VLOOKUP($Y$40&amp;$Z45&amp;$AB45,'Comorb data'!$A$3:$AE$170,7,FALSE))</f>
        <v>9.0959651231633139E-3</v>
      </c>
      <c r="AF45" s="20">
        <f>IF(OR(ISERROR(VLOOKUP($Y$40&amp;$Z45&amp;$AB45,'Comorb data'!$A$3:$AE$170,8,FALSE)),ISBLANK(VLOOKUP($Y$40&amp;$Z45&amp;$AB45,'Comorb data'!$A$3:$AE$170,8,FALSE))),"",VLOOKUP($Y$40&amp;$Z45&amp;$AB45,'Comorb data'!$A$3:$AE$170,8,FALSE))</f>
        <v>7.8329356464952732E-2</v>
      </c>
      <c r="AG45" s="20">
        <f>IF(OR(ISERROR(VLOOKUP($Y$40&amp;$Z45&amp;$AB45,'Comorb data'!$A$3:$AE$170,9,FALSE)),ISBLANK(VLOOKUP($Y$40&amp;$Z45&amp;$AB45,'Comorb data'!$A$3:$AE$170,9,FALSE))),"",VLOOKUP($Y$40&amp;$Z45&amp;$AB45,'Comorb data'!$A$3:$AE$170,9,FALSE))</f>
        <v>0.26591793896553578</v>
      </c>
      <c r="AH45" s="20">
        <f>IF(OR(ISERROR(VLOOKUP($Y$40&amp;$Z45&amp;$AB45,'Comorb data'!$A$3:$AE$170,10,FALSE)),ISBLANK(VLOOKUP($Y$40&amp;$Z45&amp;$AB45,'Comorb data'!$A$3:$AE$170,10,FALSE))),"",VLOOKUP($Y$40&amp;$Z45&amp;$AB45,'Comorb data'!$A$3:$AE$170,10,FALSE))</f>
        <v>1.2038249699492276E-2</v>
      </c>
      <c r="AI45" s="20">
        <f>IF(OR(ISERROR(VLOOKUP($Y$40&amp;$Z45&amp;$AB45,'Comorb data'!$A$3:$AE$170,11,FALSE)),ISBLANK(VLOOKUP($Y$40&amp;$Z45&amp;$AB45,'Comorb data'!$A$3:$AE$170,11,FALSE))),"",VLOOKUP($Y$40&amp;$Z45&amp;$AB45,'Comorb data'!$A$3:$AE$170,11,FALSE))</f>
        <v>9.8315362672455553E-2</v>
      </c>
      <c r="AJ45" s="20">
        <f>IF(OR(ISERROR(VLOOKUP($Y$40&amp;$Z45&amp;$AB45,'Comorb data'!$A$3:$AE$170,12,FALSE)),ISBLANK(VLOOKUP($Y$40&amp;$Z45&amp;$AB45,'Comorb data'!$A$3:$AE$170,12,FALSE))),"",VLOOKUP($Y$40&amp;$Z45&amp;$AB45,'Comorb data'!$A$3:$AE$170,12,FALSE))</f>
        <v>0.37501569816466029</v>
      </c>
    </row>
    <row r="46" spans="1:50" ht="15.75" x14ac:dyDescent="0.25">
      <c r="A46" s="7"/>
      <c r="B46" s="7"/>
      <c r="Y46" s="25"/>
      <c r="Z46" s="25" t="s">
        <v>1</v>
      </c>
      <c r="AA46" s="25"/>
      <c r="AB46" s="67">
        <v>1</v>
      </c>
      <c r="AC46" s="20">
        <f>IF(OR(ISERROR(VLOOKUP($Y$40&amp;$Z46&amp;$AB46,'Comorb data'!$A$3:$AE$170,5,FALSE)),ISBLANK(VLOOKUP($Y$40&amp;$Z46&amp;$AB46,'Comorb data'!$A$3:$AE$170,5,FALSE))),"",VLOOKUP($Y$40&amp;$Z46&amp;$AB46,'Comorb data'!$A$3:$AE$170,5,FALSE))</f>
        <v>0.1889763779527559</v>
      </c>
      <c r="AD46" s="20">
        <f>IF(OR(ISERROR(VLOOKUP($Y$40&amp;$Z46&amp;$AB46,'Comorb data'!$A$3:$AE$170,6,FALSE)),ISBLANK(VLOOKUP($Y$40&amp;$Z46&amp;$AB46,'Comorb data'!$A$3:$AE$170,6,FALSE))),"",VLOOKUP($Y$40&amp;$Z46&amp;$AB46,'Comorb data'!$A$3:$AE$170,6,FALSE))</f>
        <v>1.4435695538057743E-2</v>
      </c>
      <c r="AE46" s="20">
        <f>IF(OR(ISERROR(VLOOKUP($Y$40&amp;$Z46&amp;$AB46,'Comorb data'!$A$3:$AE$170,7,FALSE)),ISBLANK(VLOOKUP($Y$40&amp;$Z46&amp;$AB46,'Comorb data'!$A$3:$AE$170,7,FALSE))),"",VLOOKUP($Y$40&amp;$Z46&amp;$AB46,'Comorb data'!$A$3:$AE$170,7,FALSE))</f>
        <v>1.395848246241947E-2</v>
      </c>
      <c r="AF46" s="20">
        <f>IF(OR(ISERROR(VLOOKUP($Y$40&amp;$Z46&amp;$AB46,'Comorb data'!$A$3:$AE$170,8,FALSE)),ISBLANK(VLOOKUP($Y$40&amp;$Z46&amp;$AB46,'Comorb data'!$A$3:$AE$170,8,FALSE))),"",VLOOKUP($Y$40&amp;$Z46&amp;$AB46,'Comorb data'!$A$3:$AE$170,8,FALSE))</f>
        <v>5.4044380816034361E-2</v>
      </c>
      <c r="AG46" s="20">
        <f>IF(OR(ISERROR(VLOOKUP($Y$40&amp;$Z46&amp;$AB46,'Comorb data'!$A$3:$AE$170,9,FALSE)),ISBLANK(VLOOKUP($Y$40&amp;$Z46&amp;$AB46,'Comorb data'!$A$3:$AE$170,9,FALSE))),"",VLOOKUP($Y$40&amp;$Z46&amp;$AB46,'Comorb data'!$A$3:$AE$170,9,FALSE))</f>
        <v>0.27487473156764497</v>
      </c>
      <c r="AH46" s="20">
        <f>IF(OR(ISERROR(VLOOKUP($Y$40&amp;$Z46&amp;$AB46,'Comorb data'!$A$3:$AE$170,10,FALSE)),ISBLANK(VLOOKUP($Y$40&amp;$Z46&amp;$AB46,'Comorb data'!$A$3:$AE$170,10,FALSE))),"",VLOOKUP($Y$40&amp;$Z46&amp;$AB46,'Comorb data'!$A$3:$AE$170,10,FALSE))</f>
        <v>9.54426151276545E-3</v>
      </c>
      <c r="AI46" s="20">
        <f>IF(OR(ISERROR(VLOOKUP($Y$40&amp;$Z46&amp;$AB46,'Comorb data'!$A$3:$AE$170,11,FALSE)),ISBLANK(VLOOKUP($Y$40&amp;$Z46&amp;$AB46,'Comorb data'!$A$3:$AE$170,11,FALSE))),"",VLOOKUP($Y$40&amp;$Z46&amp;$AB46,'Comorb data'!$A$3:$AE$170,11,FALSE))</f>
        <v>0.23622047244094488</v>
      </c>
      <c r="AJ46" s="20">
        <f>IF(OR(ISERROR(VLOOKUP($Y$40&amp;$Z46&amp;$AB46,'Comorb data'!$A$3:$AE$170,12,FALSE)),ISBLANK(VLOOKUP($Y$40&amp;$Z46&amp;$AB46,'Comorb data'!$A$3:$AE$170,12,FALSE))),"",VLOOKUP($Y$40&amp;$Z46&amp;$AB46,'Comorb data'!$A$3:$AE$170,12,FALSE))</f>
        <v>0.20794559770937723</v>
      </c>
    </row>
    <row r="47" spans="1:50" x14ac:dyDescent="0.25">
      <c r="Y47" s="25"/>
      <c r="Z47" s="25" t="s">
        <v>1</v>
      </c>
      <c r="AA47" s="25"/>
      <c r="AB47" s="67">
        <v>2</v>
      </c>
      <c r="AC47" s="20">
        <f>IF(OR(ISERROR(VLOOKUP($Y$40&amp;$Z47&amp;$AB47,'Comorb data'!$A$3:$AE$170,5,FALSE)),ISBLANK(VLOOKUP($Y$40&amp;$Z47&amp;$AB47,'Comorb data'!$A$3:$AE$170,5,FALSE))),"",VLOOKUP($Y$40&amp;$Z47&amp;$AB47,'Comorb data'!$A$3:$AE$170,5,FALSE))</f>
        <v>0.18621399176954734</v>
      </c>
      <c r="AD47" s="20">
        <f>IF(OR(ISERROR(VLOOKUP($Y$40&amp;$Z47&amp;$AB47,'Comorb data'!$A$3:$AE$170,6,FALSE)),ISBLANK(VLOOKUP($Y$40&amp;$Z47&amp;$AB47,'Comorb data'!$A$3:$AE$170,6,FALSE))),"",VLOOKUP($Y$40&amp;$Z47&amp;$AB47,'Comorb data'!$A$3:$AE$170,6,FALSE))</f>
        <v>1.9804526748971193E-2</v>
      </c>
      <c r="AE47" s="20">
        <f>IF(OR(ISERROR(VLOOKUP($Y$40&amp;$Z47&amp;$AB47,'Comorb data'!$A$3:$AE$170,7,FALSE)),ISBLANK(VLOOKUP($Y$40&amp;$Z47&amp;$AB47,'Comorb data'!$A$3:$AE$170,7,FALSE))),"",VLOOKUP($Y$40&amp;$Z47&amp;$AB47,'Comorb data'!$A$3:$AE$170,7,FALSE))</f>
        <v>1.6203703703703703E-2</v>
      </c>
      <c r="AF47" s="20">
        <f>IF(OR(ISERROR(VLOOKUP($Y$40&amp;$Z47&amp;$AB47,'Comorb data'!$A$3:$AE$170,8,FALSE)),ISBLANK(VLOOKUP($Y$40&amp;$Z47&amp;$AB47,'Comorb data'!$A$3:$AE$170,8,FALSE))),"",VLOOKUP($Y$40&amp;$Z47&amp;$AB47,'Comorb data'!$A$3:$AE$170,8,FALSE))</f>
        <v>3.8065843621399177E-2</v>
      </c>
      <c r="AG47" s="20">
        <f>IF(OR(ISERROR(VLOOKUP($Y$40&amp;$Z47&amp;$AB47,'Comorb data'!$A$3:$AE$170,9,FALSE)),ISBLANK(VLOOKUP($Y$40&amp;$Z47&amp;$AB47,'Comorb data'!$A$3:$AE$170,9,FALSE))),"",VLOOKUP($Y$40&amp;$Z47&amp;$AB47,'Comorb data'!$A$3:$AE$170,9,FALSE))</f>
        <v>0.26157407407407407</v>
      </c>
      <c r="AH47" s="20">
        <f>IF(OR(ISERROR(VLOOKUP($Y$40&amp;$Z47&amp;$AB47,'Comorb data'!$A$3:$AE$170,10,FALSE)),ISBLANK(VLOOKUP($Y$40&amp;$Z47&amp;$AB47,'Comorb data'!$A$3:$AE$170,10,FALSE))),"",VLOOKUP($Y$40&amp;$Z47&amp;$AB47,'Comorb data'!$A$3:$AE$170,10,FALSE))</f>
        <v>7.716049382716049E-3</v>
      </c>
      <c r="AI47" s="20">
        <f>IF(OR(ISERROR(VLOOKUP($Y$40&amp;$Z47&amp;$AB47,'Comorb data'!$A$3:$AE$170,11,FALSE)),ISBLANK(VLOOKUP($Y$40&amp;$Z47&amp;$AB47,'Comorb data'!$A$3:$AE$170,11,FALSE))),"",VLOOKUP($Y$40&amp;$Z47&amp;$AB47,'Comorb data'!$A$3:$AE$170,11,FALSE))</f>
        <v>0.3271604938271605</v>
      </c>
      <c r="AJ47" s="20">
        <f>IF(OR(ISERROR(VLOOKUP($Y$40&amp;$Z47&amp;$AB47,'Comorb data'!$A$3:$AE$170,12,FALSE)),ISBLANK(VLOOKUP($Y$40&amp;$Z47&amp;$AB47,'Comorb data'!$A$3:$AE$170,12,FALSE))),"",VLOOKUP($Y$40&amp;$Z47&amp;$AB47,'Comorb data'!$A$3:$AE$170,12,FALSE))</f>
        <v>0.14326131687242799</v>
      </c>
    </row>
    <row r="48" spans="1:50" ht="15.75" x14ac:dyDescent="0.25">
      <c r="A48" s="7"/>
      <c r="B48" s="7"/>
      <c r="Y48" s="25"/>
      <c r="Z48" s="25" t="s">
        <v>1</v>
      </c>
      <c r="AA48" s="25"/>
      <c r="AB48" s="67" t="s">
        <v>40</v>
      </c>
      <c r="AC48" s="20">
        <f>IF(OR(ISERROR(VLOOKUP($Y$40&amp;$Z48&amp;$AB48,'Comorb data'!$A$3:$AE$170,5,FALSE)),ISBLANK(VLOOKUP($Y$40&amp;$Z48&amp;$AB48,'Comorb data'!$A$3:$AE$170,5,FALSE))),"",VLOOKUP($Y$40&amp;$Z48&amp;$AB48,'Comorb data'!$A$3:$AE$170,5,FALSE))</f>
        <v>0.17563739376770537</v>
      </c>
      <c r="AD48" s="20">
        <f>IF(OR(ISERROR(VLOOKUP($Y$40&amp;$Z48&amp;$AB48,'Comorb data'!$A$3:$AE$170,6,FALSE)),ISBLANK(VLOOKUP($Y$40&amp;$Z48&amp;$AB48,'Comorb data'!$A$3:$AE$170,6,FALSE))),"",VLOOKUP($Y$40&amp;$Z48&amp;$AB48,'Comorb data'!$A$3:$AE$170,6,FALSE))</f>
        <v>1.3534781240163676E-2</v>
      </c>
      <c r="AE48" s="20">
        <f>IF(OR(ISERROR(VLOOKUP($Y$40&amp;$Z48&amp;$AB48,'Comorb data'!$A$3:$AE$170,7,FALSE)),ISBLANK(VLOOKUP($Y$40&amp;$Z48&amp;$AB48,'Comorb data'!$A$3:$AE$170,7,FALSE))),"",VLOOKUP($Y$40&amp;$Z48&amp;$AB48,'Comorb data'!$A$3:$AE$170,7,FALSE))</f>
        <v>2.7069562480327353E-2</v>
      </c>
      <c r="AF48" s="20">
        <f>IF(OR(ISERROR(VLOOKUP($Y$40&amp;$Z48&amp;$AB48,'Comorb data'!$A$3:$AE$170,8,FALSE)),ISBLANK(VLOOKUP($Y$40&amp;$Z48&amp;$AB48,'Comorb data'!$A$3:$AE$170,8,FALSE))),"",VLOOKUP($Y$40&amp;$Z48&amp;$AB48,'Comorb data'!$A$3:$AE$170,8,FALSE))</f>
        <v>2.2662889518413599E-2</v>
      </c>
      <c r="AG48" s="20">
        <f>IF(OR(ISERROR(VLOOKUP($Y$40&amp;$Z48&amp;$AB48,'Comorb data'!$A$3:$AE$170,9,FALSE)),ISBLANK(VLOOKUP($Y$40&amp;$Z48&amp;$AB48,'Comorb data'!$A$3:$AE$170,9,FALSE))),"",VLOOKUP($Y$40&amp;$Z48&amp;$AB48,'Comorb data'!$A$3:$AE$170,9,FALSE))</f>
        <v>0.20081838212149827</v>
      </c>
      <c r="AH48" s="20">
        <f>IF(OR(ISERROR(VLOOKUP($Y$40&amp;$Z48&amp;$AB48,'Comorb data'!$A$3:$AE$170,10,FALSE)),ISBLANK(VLOOKUP($Y$40&amp;$Z48&amp;$AB48,'Comorb data'!$A$3:$AE$170,10,FALSE))),"",VLOOKUP($Y$40&amp;$Z48&amp;$AB48,'Comorb data'!$A$3:$AE$170,10,FALSE))</f>
        <v>5.9804847340258109E-3</v>
      </c>
      <c r="AI48" s="20">
        <f>IF(OR(ISERROR(VLOOKUP($Y$40&amp;$Z48&amp;$AB48,'Comorb data'!$A$3:$AE$170,11,FALSE)),ISBLANK(VLOOKUP($Y$40&amp;$Z48&amp;$AB48,'Comorb data'!$A$3:$AE$170,11,FALSE))),"",VLOOKUP($Y$40&amp;$Z48&amp;$AB48,'Comorb data'!$A$3:$AE$170,11,FALSE))</f>
        <v>0.49071451054453885</v>
      </c>
      <c r="AJ48" s="20">
        <f>IF(OR(ISERROR(VLOOKUP($Y$40&amp;$Z48&amp;$AB48,'Comorb data'!$A$3:$AE$170,12,FALSE)),ISBLANK(VLOOKUP($Y$40&amp;$Z48&amp;$AB48,'Comorb data'!$A$3:$AE$170,12,FALSE))),"",VLOOKUP($Y$40&amp;$Z48&amp;$AB48,'Comorb data'!$A$3:$AE$170,12,FALSE))</f>
        <v>6.3581995593327043E-2</v>
      </c>
    </row>
    <row r="49" spans="4:36" x14ac:dyDescent="0.25">
      <c r="Y49" s="25"/>
      <c r="Z49" s="25"/>
      <c r="AA49" s="25"/>
      <c r="AB49" s="67"/>
      <c r="AC49" s="20"/>
      <c r="AD49" s="20"/>
      <c r="AE49" s="20"/>
      <c r="AF49" s="20"/>
      <c r="AG49" s="20"/>
      <c r="AH49" s="20"/>
      <c r="AI49" s="20"/>
      <c r="AJ49" s="20"/>
    </row>
    <row r="50" spans="4:36" x14ac:dyDescent="0.25">
      <c r="D50" s="4"/>
      <c r="V50" s="5"/>
      <c r="W50" s="5"/>
      <c r="Y50" s="25"/>
      <c r="Z50" s="25" t="s">
        <v>2</v>
      </c>
      <c r="AA50" s="25" t="s">
        <v>2</v>
      </c>
      <c r="AB50" s="67">
        <v>0</v>
      </c>
      <c r="AC50" s="20">
        <f>IF(OR(ISERROR(VLOOKUP($Y$40&amp;$Z50&amp;$AB50,'Comorb data'!$A$3:$AE$170,5,FALSE)),ISBLANK(VLOOKUP($Y$40&amp;$Z50&amp;$AB50,'Comorb data'!$A$3:$AE$170,5,FALSE))),"",VLOOKUP($Y$40&amp;$Z50&amp;$AB50,'Comorb data'!$A$3:$AE$170,5,FALSE))</f>
        <v>0.20393811533052039</v>
      </c>
      <c r="AD50" s="20">
        <f>IF(OR(ISERROR(VLOOKUP($Y$40&amp;$Z50&amp;$AB50,'Comorb data'!$A$3:$AE$170,6,FALSE)),ISBLANK(VLOOKUP($Y$40&amp;$Z50&amp;$AB50,'Comorb data'!$A$3:$AE$170,6,FALSE))),"",VLOOKUP($Y$40&amp;$Z50&amp;$AB50,'Comorb data'!$A$3:$AE$170,6,FALSE))</f>
        <v>3.5269934004111221E-2</v>
      </c>
      <c r="AE50" s="20">
        <f>IF(OR(ISERROR(VLOOKUP($Y$40&amp;$Z50&amp;$AB50,'Comorb data'!$A$3:$AE$170,7,FALSE)),ISBLANK(VLOOKUP($Y$40&amp;$Z50&amp;$AB50,'Comorb data'!$A$3:$AE$170,7,FALSE))),"",VLOOKUP($Y$40&amp;$Z50&amp;$AB50,'Comorb data'!$A$3:$AE$170,7,FALSE))</f>
        <v>5.128205128205128E-2</v>
      </c>
      <c r="AF50" s="20">
        <f>IF(OR(ISERROR(VLOOKUP($Y$40&amp;$Z50&amp;$AB50,'Comorb data'!$A$3:$AE$170,8,FALSE)),ISBLANK(VLOOKUP($Y$40&amp;$Z50&amp;$AB50,'Comorb data'!$A$3:$AE$170,8,FALSE))),"",VLOOKUP($Y$40&amp;$Z50&amp;$AB50,'Comorb data'!$A$3:$AE$170,8,FALSE))</f>
        <v>7.1405387861084066E-2</v>
      </c>
      <c r="AG50" s="20">
        <f>IF(OR(ISERROR(VLOOKUP($Y$40&amp;$Z50&amp;$AB50,'Comorb data'!$A$3:$AE$170,9,FALSE)),ISBLANK(VLOOKUP($Y$40&amp;$Z50&amp;$AB50,'Comorb data'!$A$3:$AE$170,9,FALSE))),"",VLOOKUP($Y$40&amp;$Z50&amp;$AB50,'Comorb data'!$A$3:$AE$170,9,FALSE))</f>
        <v>0.20404630531212808</v>
      </c>
      <c r="AH50" s="20">
        <f>IF(OR(ISERROR(VLOOKUP($Y$40&amp;$Z50&amp;$AB50,'Comorb data'!$A$3:$AE$170,10,FALSE)),ISBLANK(VLOOKUP($Y$40&amp;$Z50&amp;$AB50,'Comorb data'!$A$3:$AE$170,10,FALSE))),"",VLOOKUP($Y$40&amp;$Z50&amp;$AB50,'Comorb data'!$A$3:$AE$170,10,FALSE))</f>
        <v>3.4620794114465003E-2</v>
      </c>
      <c r="AI50" s="20">
        <f>IF(OR(ISERROR(VLOOKUP($Y$40&amp;$Z50&amp;$AB50,'Comorb data'!$A$3:$AE$170,11,FALSE)),ISBLANK(VLOOKUP($Y$40&amp;$Z50&amp;$AB50,'Comorb data'!$A$3:$AE$170,11,FALSE))),"",VLOOKUP($Y$40&amp;$Z50&amp;$AB50,'Comorb data'!$A$3:$AE$170,11,FALSE))</f>
        <v>0.20339716542248187</v>
      </c>
      <c r="AJ50" s="20">
        <f>IF(OR(ISERROR(VLOOKUP($Y$40&amp;$Z50&amp;$AB50,'Comorb data'!$A$3:$AE$170,12,FALSE)),ISBLANK(VLOOKUP($Y$40&amp;$Z50&amp;$AB50,'Comorb data'!$A$3:$AE$170,12,FALSE))),"",VLOOKUP($Y$40&amp;$Z50&amp;$AB50,'Comorb data'!$A$3:$AE$170,12,FALSE))</f>
        <v>0.19604024667315806</v>
      </c>
    </row>
    <row r="51" spans="4:36" x14ac:dyDescent="0.25">
      <c r="Y51" s="25"/>
      <c r="Z51" s="25" t="s">
        <v>2</v>
      </c>
      <c r="AA51" s="25"/>
      <c r="AB51" s="67">
        <v>1</v>
      </c>
      <c r="AC51" s="20">
        <f>IF(OR(ISERROR(VLOOKUP($Y$40&amp;$Z51&amp;$AB51,'Comorb data'!$A$3:$AE$170,5,FALSE)),ISBLANK(VLOOKUP($Y$40&amp;$Z51&amp;$AB51,'Comorb data'!$A$3:$AE$170,5,FALSE))),"",VLOOKUP($Y$40&amp;$Z51&amp;$AB51,'Comorb data'!$A$3:$AE$170,5,FALSE))</f>
        <v>0.23457730388423459</v>
      </c>
      <c r="AD51" s="20">
        <f>IF(OR(ISERROR(VLOOKUP($Y$40&amp;$Z51&amp;$AB51,'Comorb data'!$A$3:$AE$170,6,FALSE)),ISBLANK(VLOOKUP($Y$40&amp;$Z51&amp;$AB51,'Comorb data'!$A$3:$AE$170,6,FALSE))),"",VLOOKUP($Y$40&amp;$Z51&amp;$AB51,'Comorb data'!$A$3:$AE$170,6,FALSE))</f>
        <v>2.1325209444021324E-2</v>
      </c>
      <c r="AE51" s="20">
        <f>IF(OR(ISERROR(VLOOKUP($Y$40&amp;$Z51&amp;$AB51,'Comorb data'!$A$3:$AE$170,7,FALSE)),ISBLANK(VLOOKUP($Y$40&amp;$Z51&amp;$AB51,'Comorb data'!$A$3:$AE$170,7,FALSE))),"",VLOOKUP($Y$40&amp;$Z51&amp;$AB51,'Comorb data'!$A$3:$AE$170,7,FALSE))</f>
        <v>5.4836252856054833E-2</v>
      </c>
      <c r="AF51" s="20">
        <f>IF(OR(ISERROR(VLOOKUP($Y$40&amp;$Z51&amp;$AB51,'Comorb data'!$A$3:$AE$170,8,FALSE)),ISBLANK(VLOOKUP($Y$40&amp;$Z51&amp;$AB51,'Comorb data'!$A$3:$AE$170,8,FALSE))),"",VLOOKUP($Y$40&amp;$Z51&amp;$AB51,'Comorb data'!$A$3:$AE$170,8,FALSE))</f>
        <v>5.4836252856054833E-2</v>
      </c>
      <c r="AG51" s="20">
        <f>IF(OR(ISERROR(VLOOKUP($Y$40&amp;$Z51&amp;$AB51,'Comorb data'!$A$3:$AE$170,9,FALSE)),ISBLANK(VLOOKUP($Y$40&amp;$Z51&amp;$AB51,'Comorb data'!$A$3:$AE$170,9,FALSE))),"",VLOOKUP($Y$40&amp;$Z51&amp;$AB51,'Comorb data'!$A$3:$AE$170,9,FALSE))</f>
        <v>0.20335110434120335</v>
      </c>
      <c r="AH51" s="20">
        <f>IF(OR(ISERROR(VLOOKUP($Y$40&amp;$Z51&amp;$AB51,'Comorb data'!$A$3:$AE$170,10,FALSE)),ISBLANK(VLOOKUP($Y$40&amp;$Z51&amp;$AB51,'Comorb data'!$A$3:$AE$170,10,FALSE))),"",VLOOKUP($Y$40&amp;$Z51&amp;$AB51,'Comorb data'!$A$3:$AE$170,10,FALSE))</f>
        <v>1.5232292460015232E-2</v>
      </c>
      <c r="AI51" s="20">
        <f>IF(OR(ISERROR(VLOOKUP($Y$40&amp;$Z51&amp;$AB51,'Comorb data'!$A$3:$AE$170,11,FALSE)),ISBLANK(VLOOKUP($Y$40&amp;$Z51&amp;$AB51,'Comorb data'!$A$3:$AE$170,11,FALSE))),"",VLOOKUP($Y$40&amp;$Z51&amp;$AB51,'Comorb data'!$A$3:$AE$170,11,FALSE))</f>
        <v>0.29322162985529321</v>
      </c>
      <c r="AJ51" s="20">
        <f>IF(OR(ISERROR(VLOOKUP($Y$40&amp;$Z51&amp;$AB51,'Comorb data'!$A$3:$AE$170,12,FALSE)),ISBLANK(VLOOKUP($Y$40&amp;$Z51&amp;$AB51,'Comorb data'!$A$3:$AE$170,12,FALSE))),"",VLOOKUP($Y$40&amp;$Z51&amp;$AB51,'Comorb data'!$A$3:$AE$170,12,FALSE))</f>
        <v>0.12261995430312261</v>
      </c>
    </row>
    <row r="52" spans="4:36" x14ac:dyDescent="0.25">
      <c r="Y52" s="25"/>
      <c r="Z52" s="25" t="s">
        <v>2</v>
      </c>
      <c r="AA52" s="25"/>
      <c r="AB52" s="67">
        <v>2</v>
      </c>
      <c r="AC52" s="20">
        <f>IF(OR(ISERROR(VLOOKUP($Y$40&amp;$Z52&amp;$AB52,'Comorb data'!$A$3:$AE$170,5,FALSE)),ISBLANK(VLOOKUP($Y$40&amp;$Z52&amp;$AB52,'Comorb data'!$A$3:$AE$170,5,FALSE))),"",VLOOKUP($Y$40&amp;$Z52&amp;$AB52,'Comorb data'!$A$3:$AE$170,5,FALSE))</f>
        <v>0.23119777158774374</v>
      </c>
      <c r="AD52" s="20">
        <f>IF(OR(ISERROR(VLOOKUP($Y$40&amp;$Z52&amp;$AB52,'Comorb data'!$A$3:$AE$170,6,FALSE)),ISBLANK(VLOOKUP($Y$40&amp;$Z52&amp;$AB52,'Comorb data'!$A$3:$AE$170,6,FALSE))),"",VLOOKUP($Y$40&amp;$Z52&amp;$AB52,'Comorb data'!$A$3:$AE$170,6,FALSE))</f>
        <v>5.0139275766016712E-2</v>
      </c>
      <c r="AE52" s="20">
        <f>IF(OR(ISERROR(VLOOKUP($Y$40&amp;$Z52&amp;$AB52,'Comorb data'!$A$3:$AE$170,7,FALSE)),ISBLANK(VLOOKUP($Y$40&amp;$Z52&amp;$AB52,'Comorb data'!$A$3:$AE$170,7,FALSE))),"",VLOOKUP($Y$40&amp;$Z52&amp;$AB52,'Comorb data'!$A$3:$AE$170,7,FALSE))</f>
        <v>3.5283194057567316E-2</v>
      </c>
      <c r="AF52" s="20">
        <f>IF(OR(ISERROR(VLOOKUP($Y$40&amp;$Z52&amp;$AB52,'Comorb data'!$A$3:$AE$170,8,FALSE)),ISBLANK(VLOOKUP($Y$40&amp;$Z52&amp;$AB52,'Comorb data'!$A$3:$AE$170,8,FALSE))),"",VLOOKUP($Y$40&amp;$Z52&amp;$AB52,'Comorb data'!$A$3:$AE$170,8,FALSE))</f>
        <v>8.4493964716805939E-2</v>
      </c>
      <c r="AG52" s="20">
        <f>IF(OR(ISERROR(VLOOKUP($Y$40&amp;$Z52&amp;$AB52,'Comorb data'!$A$3:$AE$170,9,FALSE)),ISBLANK(VLOOKUP($Y$40&amp;$Z52&amp;$AB52,'Comorb data'!$A$3:$AE$170,9,FALSE))),"",VLOOKUP($Y$40&amp;$Z52&amp;$AB52,'Comorb data'!$A$3:$AE$170,9,FALSE))</f>
        <v>0.22191272051996286</v>
      </c>
      <c r="AH52" s="20">
        <f>IF(OR(ISERROR(VLOOKUP($Y$40&amp;$Z52&amp;$AB52,'Comorb data'!$A$3:$AE$170,10,FALSE)),ISBLANK(VLOOKUP($Y$40&amp;$Z52&amp;$AB52,'Comorb data'!$A$3:$AE$170,10,FALSE))),"",VLOOKUP($Y$40&amp;$Z52&amp;$AB52,'Comorb data'!$A$3:$AE$170,10,FALSE))</f>
        <v>3.4354688950789226E-2</v>
      </c>
      <c r="AI52" s="20">
        <f>IF(OR(ISERROR(VLOOKUP($Y$40&amp;$Z52&amp;$AB52,'Comorb data'!$A$3:$AE$170,11,FALSE)),ISBLANK(VLOOKUP($Y$40&amp;$Z52&amp;$AB52,'Comorb data'!$A$3:$AE$170,11,FALSE))),"",VLOOKUP($Y$40&amp;$Z52&amp;$AB52,'Comorb data'!$A$3:$AE$170,11,FALSE))</f>
        <v>0.23955431754874651</v>
      </c>
      <c r="AJ52" s="20">
        <f>IF(OR(ISERROR(VLOOKUP($Y$40&amp;$Z52&amp;$AB52,'Comorb data'!$A$3:$AE$170,12,FALSE)),ISBLANK(VLOOKUP($Y$40&amp;$Z52&amp;$AB52,'Comorb data'!$A$3:$AE$170,12,FALSE))),"",VLOOKUP($Y$40&amp;$Z52&amp;$AB52,'Comorb data'!$A$3:$AE$170,12,FALSE))</f>
        <v>0.10306406685236769</v>
      </c>
    </row>
    <row r="53" spans="4:36" x14ac:dyDescent="0.25">
      <c r="Y53" s="25"/>
      <c r="Z53" s="25" t="s">
        <v>2</v>
      </c>
      <c r="AA53" s="25"/>
      <c r="AB53" s="67" t="s">
        <v>40</v>
      </c>
      <c r="AC53" s="20">
        <f>IF(OR(ISERROR(VLOOKUP($Y$40&amp;$Z53&amp;$AB53,'Comorb data'!$A$3:$AE$170,5,FALSE)),ISBLANK(VLOOKUP($Y$40&amp;$Z53&amp;$AB53,'Comorb data'!$A$3:$AE$170,5,FALSE))),"",VLOOKUP($Y$40&amp;$Z53&amp;$AB53,'Comorb data'!$A$3:$AE$170,5,FALSE))</f>
        <v>0.22733812949640289</v>
      </c>
      <c r="AD53" s="20">
        <f>IF(OR(ISERROR(VLOOKUP($Y$40&amp;$Z53&amp;$AB53,'Comorb data'!$A$3:$AE$170,6,FALSE)),ISBLANK(VLOOKUP($Y$40&amp;$Z53&amp;$AB53,'Comorb data'!$A$3:$AE$170,6,FALSE))),"",VLOOKUP($Y$40&amp;$Z53&amp;$AB53,'Comorb data'!$A$3:$AE$170,6,FALSE))</f>
        <v>5.4676258992805753E-2</v>
      </c>
      <c r="AE53" s="20">
        <f>IF(OR(ISERROR(VLOOKUP($Y$40&amp;$Z53&amp;$AB53,'Comorb data'!$A$3:$AE$170,7,FALSE)),ISBLANK(VLOOKUP($Y$40&amp;$Z53&amp;$AB53,'Comorb data'!$A$3:$AE$170,7,FALSE))),"",VLOOKUP($Y$40&amp;$Z53&amp;$AB53,'Comorb data'!$A$3:$AE$170,7,FALSE))</f>
        <v>4.8920863309352518E-2</v>
      </c>
      <c r="AF53" s="20">
        <f>IF(OR(ISERROR(VLOOKUP($Y$40&amp;$Z53&amp;$AB53,'Comorb data'!$A$3:$AE$170,8,FALSE)),ISBLANK(VLOOKUP($Y$40&amp;$Z53&amp;$AB53,'Comorb data'!$A$3:$AE$170,8,FALSE))),"",VLOOKUP($Y$40&amp;$Z53&amp;$AB53,'Comorb data'!$A$3:$AE$170,8,FALSE))</f>
        <v>3.5971223021582732E-2</v>
      </c>
      <c r="AG53" s="20">
        <f>IF(OR(ISERROR(VLOOKUP($Y$40&amp;$Z53&amp;$AB53,'Comorb data'!$A$3:$AE$170,9,FALSE)),ISBLANK(VLOOKUP($Y$40&amp;$Z53&amp;$AB53,'Comorb data'!$A$3:$AE$170,9,FALSE))),"",VLOOKUP($Y$40&amp;$Z53&amp;$AB53,'Comorb data'!$A$3:$AE$170,9,FALSE))</f>
        <v>0.17122302158273381</v>
      </c>
      <c r="AH53" s="20">
        <f>IF(OR(ISERROR(VLOOKUP($Y$40&amp;$Z53&amp;$AB53,'Comorb data'!$A$3:$AE$170,10,FALSE)),ISBLANK(VLOOKUP($Y$40&amp;$Z53&amp;$AB53,'Comorb data'!$A$3:$AE$170,10,FALSE))),"",VLOOKUP($Y$40&amp;$Z53&amp;$AB53,'Comorb data'!$A$3:$AE$170,10,FALSE))</f>
        <v>2.0143884892086329E-2</v>
      </c>
      <c r="AI53" s="20">
        <f>IF(OR(ISERROR(VLOOKUP($Y$40&amp;$Z53&amp;$AB53,'Comorb data'!$A$3:$AE$170,11,FALSE)),ISBLANK(VLOOKUP($Y$40&amp;$Z53&amp;$AB53,'Comorb data'!$A$3:$AE$170,11,FALSE))),"",VLOOKUP($Y$40&amp;$Z53&amp;$AB53,'Comorb data'!$A$3:$AE$170,11,FALSE))</f>
        <v>0.3985611510791367</v>
      </c>
      <c r="AJ53" s="20">
        <f>IF(OR(ISERROR(VLOOKUP($Y$40&amp;$Z53&amp;$AB53,'Comorb data'!$A$3:$AE$170,12,FALSE)),ISBLANK(VLOOKUP($Y$40&amp;$Z53&amp;$AB53,'Comorb data'!$A$3:$AE$170,12,FALSE))),"",VLOOKUP($Y$40&amp;$Z53&amp;$AB53,'Comorb data'!$A$3:$AE$170,12,FALSE))</f>
        <v>4.3165467625899283E-2</v>
      </c>
    </row>
    <row r="54" spans="4:36" x14ac:dyDescent="0.25">
      <c r="Y54" s="25"/>
      <c r="Z54" s="25"/>
      <c r="AA54" s="25"/>
      <c r="AB54" s="67"/>
      <c r="AC54" s="20"/>
      <c r="AD54" s="20"/>
      <c r="AE54" s="20"/>
      <c r="AF54" s="20"/>
      <c r="AG54" s="20"/>
      <c r="AH54" s="20"/>
      <c r="AI54" s="20"/>
      <c r="AJ54" s="20"/>
    </row>
    <row r="55" spans="4:36" x14ac:dyDescent="0.25">
      <c r="Y55" s="25"/>
      <c r="Z55" s="25" t="s">
        <v>32</v>
      </c>
      <c r="AA55" s="25" t="s">
        <v>32</v>
      </c>
      <c r="AB55" s="67">
        <v>0</v>
      </c>
      <c r="AC55" s="20">
        <f>IF(OR(ISERROR(VLOOKUP($Y$40&amp;$Z55&amp;$AB55,'Comorb data'!$A$3:$AE$170,5,FALSE)),ISBLANK(VLOOKUP($Y$40&amp;$Z55&amp;$AB55,'Comorb data'!$A$3:$AE$170,5,FALSE))),"",VLOOKUP($Y$40&amp;$Z55&amp;$AB55,'Comorb data'!$A$3:$AE$170,5,FALSE))</f>
        <v>0.24511469838572641</v>
      </c>
      <c r="AD55" s="20">
        <f>IF(OR(ISERROR(VLOOKUP($Y$40&amp;$Z55&amp;$AB55,'Comorb data'!$A$3:$AE$170,6,FALSE)),ISBLANK(VLOOKUP($Y$40&amp;$Z55&amp;$AB55,'Comorb data'!$A$3:$AE$170,6,FALSE))),"",VLOOKUP($Y$40&amp;$Z55&amp;$AB55,'Comorb data'!$A$3:$AE$170,6,FALSE))</f>
        <v>4.4180118946474084E-2</v>
      </c>
      <c r="AE55" s="20">
        <f>IF(OR(ISERROR(VLOOKUP($Y$40&amp;$Z55&amp;$AB55,'Comorb data'!$A$3:$AE$170,7,FALSE)),ISBLANK(VLOOKUP($Y$40&amp;$Z55&amp;$AB55,'Comorb data'!$A$3:$AE$170,7,FALSE))),"",VLOOKUP($Y$40&amp;$Z55&amp;$AB55,'Comorb data'!$A$3:$AE$170,7,FALSE))</f>
        <v>3.7383177570093455E-2</v>
      </c>
      <c r="AF55" s="20">
        <f>IF(OR(ISERROR(VLOOKUP($Y$40&amp;$Z55&amp;$AB55,'Comorb data'!$A$3:$AE$170,8,FALSE)),ISBLANK(VLOOKUP($Y$40&amp;$Z55&amp;$AB55,'Comorb data'!$A$3:$AE$170,8,FALSE))),"",VLOOKUP($Y$40&amp;$Z55&amp;$AB55,'Comorb data'!$A$3:$AE$170,8,FALSE))</f>
        <v>7.7315208156329654E-2</v>
      </c>
      <c r="AG55" s="20">
        <f>IF(OR(ISERROR(VLOOKUP($Y$40&amp;$Z55&amp;$AB55,'Comorb data'!$A$3:$AE$170,9,FALSE)),ISBLANK(VLOOKUP($Y$40&amp;$Z55&amp;$AB55,'Comorb data'!$A$3:$AE$170,9,FALSE))),"",VLOOKUP($Y$40&amp;$Z55&amp;$AB55,'Comorb data'!$A$3:$AE$170,9,FALSE))</f>
        <v>0.25573491928632114</v>
      </c>
      <c r="AH55" s="20">
        <f>IF(OR(ISERROR(VLOOKUP($Y$40&amp;$Z55&amp;$AB55,'Comorb data'!$A$3:$AE$170,10,FALSE)),ISBLANK(VLOOKUP($Y$40&amp;$Z55&amp;$AB55,'Comorb data'!$A$3:$AE$170,10,FALSE))),"",VLOOKUP($Y$40&amp;$Z55&amp;$AB55,'Comorb data'!$A$3:$AE$170,10,FALSE))</f>
        <v>3.610875106202209E-2</v>
      </c>
      <c r="AI55" s="20">
        <f>IF(OR(ISERROR(VLOOKUP($Y$40&amp;$Z55&amp;$AB55,'Comorb data'!$A$3:$AE$170,11,FALSE)),ISBLANK(VLOOKUP($Y$40&amp;$Z55&amp;$AB55,'Comorb data'!$A$3:$AE$170,11,FALSE))),"",VLOOKUP($Y$40&amp;$Z55&amp;$AB55,'Comorb data'!$A$3:$AE$170,11,FALSE))</f>
        <v>0.14910790144435004</v>
      </c>
      <c r="AJ55" s="20">
        <f>IF(OR(ISERROR(VLOOKUP($Y$40&amp;$Z55&amp;$AB55,'Comorb data'!$A$3:$AE$170,12,FALSE)),ISBLANK(VLOOKUP($Y$40&amp;$Z55&amp;$AB55,'Comorb data'!$A$3:$AE$170,12,FALSE))),"",VLOOKUP($Y$40&amp;$Z55&amp;$AB55,'Comorb data'!$A$3:$AE$170,12,FALSE))</f>
        <v>0.15505522514868308</v>
      </c>
    </row>
    <row r="56" spans="4:36" x14ac:dyDescent="0.25">
      <c r="Y56" s="25"/>
      <c r="Z56" s="25" t="s">
        <v>32</v>
      </c>
      <c r="AA56" s="25"/>
      <c r="AB56" s="67">
        <v>1</v>
      </c>
      <c r="AC56" s="20">
        <f>IF(OR(ISERROR(VLOOKUP($Y$40&amp;$Z56&amp;$AB56,'Comorb data'!$A$3:$AE$170,5,FALSE)),ISBLANK(VLOOKUP($Y$40&amp;$Z56&amp;$AB56,'Comorb data'!$A$3:$AE$170,5,FALSE))),"",VLOOKUP($Y$40&amp;$Z56&amp;$AB56,'Comorb data'!$A$3:$AE$170,5,FALSE))</f>
        <v>0.19884726224783861</v>
      </c>
      <c r="AD56" s="20">
        <f>IF(OR(ISERROR(VLOOKUP($Y$40&amp;$Z56&amp;$AB56,'Comorb data'!$A$3:$AE$170,6,FALSE)),ISBLANK(VLOOKUP($Y$40&amp;$Z56&amp;$AB56,'Comorb data'!$A$3:$AE$170,6,FALSE))),"",VLOOKUP($Y$40&amp;$Z56&amp;$AB56,'Comorb data'!$A$3:$AE$170,6,FALSE))</f>
        <v>3.7463976945244955E-2</v>
      </c>
      <c r="AE56" s="20">
        <f>IF(OR(ISERROR(VLOOKUP($Y$40&amp;$Z56&amp;$AB56,'Comorb data'!$A$3:$AE$170,7,FALSE)),ISBLANK(VLOOKUP($Y$40&amp;$Z56&amp;$AB56,'Comorb data'!$A$3:$AE$170,7,FALSE))),"",VLOOKUP($Y$40&amp;$Z56&amp;$AB56,'Comorb data'!$A$3:$AE$170,7,FALSE))</f>
        <v>3.1700288184438041E-2</v>
      </c>
      <c r="AF56" s="20">
        <f>IF(OR(ISERROR(VLOOKUP($Y$40&amp;$Z56&amp;$AB56,'Comorb data'!$A$3:$AE$170,8,FALSE)),ISBLANK(VLOOKUP($Y$40&amp;$Z56&amp;$AB56,'Comorb data'!$A$3:$AE$170,8,FALSE))),"",VLOOKUP($Y$40&amp;$Z56&amp;$AB56,'Comorb data'!$A$3:$AE$170,8,FALSE))</f>
        <v>7.492795389048991E-2</v>
      </c>
      <c r="AG56" s="20">
        <f>IF(OR(ISERROR(VLOOKUP($Y$40&amp;$Z56&amp;$AB56,'Comorb data'!$A$3:$AE$170,9,FALSE)),ISBLANK(VLOOKUP($Y$40&amp;$Z56&amp;$AB56,'Comorb data'!$A$3:$AE$170,9,FALSE))),"",VLOOKUP($Y$40&amp;$Z56&amp;$AB56,'Comorb data'!$A$3:$AE$170,9,FALSE))</f>
        <v>0.26224783861671469</v>
      </c>
      <c r="AH56" s="20">
        <f>IF(OR(ISERROR(VLOOKUP($Y$40&amp;$Z56&amp;$AB56,'Comorb data'!$A$3:$AE$170,10,FALSE)),ISBLANK(VLOOKUP($Y$40&amp;$Z56&amp;$AB56,'Comorb data'!$A$3:$AE$170,10,FALSE))),"",VLOOKUP($Y$40&amp;$Z56&amp;$AB56,'Comorb data'!$A$3:$AE$170,10,FALSE))</f>
        <v>1.7291066282420751E-2</v>
      </c>
      <c r="AI56" s="20">
        <f>IF(OR(ISERROR(VLOOKUP($Y$40&amp;$Z56&amp;$AB56,'Comorb data'!$A$3:$AE$170,11,FALSE)),ISBLANK(VLOOKUP($Y$40&amp;$Z56&amp;$AB56,'Comorb data'!$A$3:$AE$170,11,FALSE))),"",VLOOKUP($Y$40&amp;$Z56&amp;$AB56,'Comorb data'!$A$3:$AE$170,11,FALSE))</f>
        <v>0.26224783861671469</v>
      </c>
      <c r="AJ56" s="20">
        <f>IF(OR(ISERROR(VLOOKUP($Y$40&amp;$Z56&amp;$AB56,'Comorb data'!$A$3:$AE$170,12,FALSE)),ISBLANK(VLOOKUP($Y$40&amp;$Z56&amp;$AB56,'Comorb data'!$A$3:$AE$170,12,FALSE))),"",VLOOKUP($Y$40&amp;$Z56&amp;$AB56,'Comorb data'!$A$3:$AE$170,12,FALSE))</f>
        <v>0.11527377521613832</v>
      </c>
    </row>
    <row r="57" spans="4:36" x14ac:dyDescent="0.25">
      <c r="Y57" s="25"/>
      <c r="Z57" s="25" t="s">
        <v>32</v>
      </c>
      <c r="AA57" s="25"/>
      <c r="AB57" s="67">
        <v>2</v>
      </c>
      <c r="AC57" s="20">
        <f>IF(OR(ISERROR(VLOOKUP($Y$40&amp;$Z57&amp;$AB57,'Comorb data'!$A$3:$AE$170,5,FALSE)),ISBLANK(VLOOKUP($Y$40&amp;$Z57&amp;$AB57,'Comorb data'!$A$3:$AE$170,5,FALSE))),"",VLOOKUP($Y$40&amp;$Z57&amp;$AB57,'Comorb data'!$A$3:$AE$170,5,FALSE))</f>
        <v>0.22299651567944251</v>
      </c>
      <c r="AD57" s="20">
        <f>IF(OR(ISERROR(VLOOKUP($Y$40&amp;$Z57&amp;$AB57,'Comorb data'!$A$3:$AE$170,6,FALSE)),ISBLANK(VLOOKUP($Y$40&amp;$Z57&amp;$AB57,'Comorb data'!$A$3:$AE$170,6,FALSE))),"",VLOOKUP($Y$40&amp;$Z57&amp;$AB57,'Comorb data'!$A$3:$AE$170,6,FALSE))</f>
        <v>7.4912891986062713E-2</v>
      </c>
      <c r="AE57" s="20">
        <f>IF(OR(ISERROR(VLOOKUP($Y$40&amp;$Z57&amp;$AB57,'Comorb data'!$A$3:$AE$170,7,FALSE)),ISBLANK(VLOOKUP($Y$40&amp;$Z57&amp;$AB57,'Comorb data'!$A$3:$AE$170,7,FALSE))),"",VLOOKUP($Y$40&amp;$Z57&amp;$AB57,'Comorb data'!$A$3:$AE$170,7,FALSE))</f>
        <v>3.3101045296167246E-2</v>
      </c>
      <c r="AF57" s="20">
        <f>IF(OR(ISERROR(VLOOKUP($Y$40&amp;$Z57&amp;$AB57,'Comorb data'!$A$3:$AE$170,8,FALSE)),ISBLANK(VLOOKUP($Y$40&amp;$Z57&amp;$AB57,'Comorb data'!$A$3:$AE$170,8,FALSE))),"",VLOOKUP($Y$40&amp;$Z57&amp;$AB57,'Comorb data'!$A$3:$AE$170,8,FALSE))</f>
        <v>8.7108013937282236E-2</v>
      </c>
      <c r="AG57" s="20">
        <f>IF(OR(ISERROR(VLOOKUP($Y$40&amp;$Z57&amp;$AB57,'Comorb data'!$A$3:$AE$170,9,FALSE)),ISBLANK(VLOOKUP($Y$40&amp;$Z57&amp;$AB57,'Comorb data'!$A$3:$AE$170,9,FALSE))),"",VLOOKUP($Y$40&amp;$Z57&amp;$AB57,'Comorb data'!$A$3:$AE$170,9,FALSE))</f>
        <v>0.24041811846689895</v>
      </c>
      <c r="AH57" s="20">
        <f>IF(OR(ISERROR(VLOOKUP($Y$40&amp;$Z57&amp;$AB57,'Comorb data'!$A$3:$AE$170,10,FALSE)),ISBLANK(VLOOKUP($Y$40&amp;$Z57&amp;$AB57,'Comorb data'!$A$3:$AE$170,10,FALSE))),"",VLOOKUP($Y$40&amp;$Z57&amp;$AB57,'Comorb data'!$A$3:$AE$170,10,FALSE))</f>
        <v>4.1811846689895474E-2</v>
      </c>
      <c r="AI57" s="20">
        <f>IF(OR(ISERROR(VLOOKUP($Y$40&amp;$Z57&amp;$AB57,'Comorb data'!$A$3:$AE$170,11,FALSE)),ISBLANK(VLOOKUP($Y$40&amp;$Z57&amp;$AB57,'Comorb data'!$A$3:$AE$170,11,FALSE))),"",VLOOKUP($Y$40&amp;$Z57&amp;$AB57,'Comorb data'!$A$3:$AE$170,11,FALSE))</f>
        <v>0.17073170731707318</v>
      </c>
      <c r="AJ57" s="20">
        <f>IF(OR(ISERROR(VLOOKUP($Y$40&amp;$Z57&amp;$AB57,'Comorb data'!$A$3:$AE$170,12,FALSE)),ISBLANK(VLOOKUP($Y$40&amp;$Z57&amp;$AB57,'Comorb data'!$A$3:$AE$170,12,FALSE))),"",VLOOKUP($Y$40&amp;$Z57&amp;$AB57,'Comorb data'!$A$3:$AE$170,12,FALSE))</f>
        <v>0.1289198606271777</v>
      </c>
    </row>
    <row r="58" spans="4:36" x14ac:dyDescent="0.25">
      <c r="Y58" s="25"/>
      <c r="Z58" s="25" t="s">
        <v>32</v>
      </c>
      <c r="AA58" s="25"/>
      <c r="AB58" s="67" t="s">
        <v>40</v>
      </c>
      <c r="AC58" s="20">
        <f>IF(OR(ISERROR(VLOOKUP($Y$40&amp;$Z58&amp;$AB58,'Comorb data'!$A$3:$AE$170,5,FALSE)),ISBLANK(VLOOKUP($Y$40&amp;$Z58&amp;$AB58,'Comorb data'!$A$3:$AE$170,5,FALSE))),"",VLOOKUP($Y$40&amp;$Z58&amp;$AB58,'Comorb data'!$A$3:$AE$170,5,FALSE))</f>
        <v>0.1761006289308176</v>
      </c>
      <c r="AD58" s="20">
        <f>IF(OR(ISERROR(VLOOKUP($Y$40&amp;$Z58&amp;$AB58,'Comorb data'!$A$3:$AE$170,6,FALSE)),ISBLANK(VLOOKUP($Y$40&amp;$Z58&amp;$AB58,'Comorb data'!$A$3:$AE$170,6,FALSE))),"",VLOOKUP($Y$40&amp;$Z58&amp;$AB58,'Comorb data'!$A$3:$AE$170,6,FALSE))</f>
        <v>4.40251572327044E-2</v>
      </c>
      <c r="AE58" s="20">
        <f>IF(OR(ISERROR(VLOOKUP($Y$40&amp;$Z58&amp;$AB58,'Comorb data'!$A$3:$AE$170,7,FALSE)),ISBLANK(VLOOKUP($Y$40&amp;$Z58&amp;$AB58,'Comorb data'!$A$3:$AE$170,7,FALSE))),"",VLOOKUP($Y$40&amp;$Z58&amp;$AB58,'Comorb data'!$A$3:$AE$170,7,FALSE))</f>
        <v>2.20125786163522E-2</v>
      </c>
      <c r="AF58" s="20">
        <f>IF(OR(ISERROR(VLOOKUP($Y$40&amp;$Z58&amp;$AB58,'Comorb data'!$A$3:$AE$170,8,FALSE)),ISBLANK(VLOOKUP($Y$40&amp;$Z58&amp;$AB58,'Comorb data'!$A$3:$AE$170,8,FALSE))),"",VLOOKUP($Y$40&amp;$Z58&amp;$AB58,'Comorb data'!$A$3:$AE$170,8,FALSE))</f>
        <v>6.9182389937106917E-2</v>
      </c>
      <c r="AG58" s="20">
        <f>IF(OR(ISERROR(VLOOKUP($Y$40&amp;$Z58&amp;$AB58,'Comorb data'!$A$3:$AE$170,9,FALSE)),ISBLANK(VLOOKUP($Y$40&amp;$Z58&amp;$AB58,'Comorb data'!$A$3:$AE$170,9,FALSE))),"",VLOOKUP($Y$40&amp;$Z58&amp;$AB58,'Comorb data'!$A$3:$AE$170,9,FALSE))</f>
        <v>0.21698113207547171</v>
      </c>
      <c r="AH58" s="20">
        <f>IF(OR(ISERROR(VLOOKUP($Y$40&amp;$Z58&amp;$AB58,'Comorb data'!$A$3:$AE$170,10,FALSE)),ISBLANK(VLOOKUP($Y$40&amp;$Z58&amp;$AB58,'Comorb data'!$A$3:$AE$170,10,FALSE))),"",VLOOKUP($Y$40&amp;$Z58&amp;$AB58,'Comorb data'!$A$3:$AE$170,10,FALSE))</f>
        <v>1.8867924528301886E-2</v>
      </c>
      <c r="AI58" s="20">
        <f>IF(OR(ISERROR(VLOOKUP($Y$40&amp;$Z58&amp;$AB58,'Comorb data'!$A$3:$AE$170,11,FALSE)),ISBLANK(VLOOKUP($Y$40&amp;$Z58&amp;$AB58,'Comorb data'!$A$3:$AE$170,11,FALSE))),"",VLOOKUP($Y$40&amp;$Z58&amp;$AB58,'Comorb data'!$A$3:$AE$170,11,FALSE))</f>
        <v>0.36792452830188677</v>
      </c>
      <c r="AJ58" s="20">
        <f>IF(OR(ISERROR(VLOOKUP($Y$40&amp;$Z58&amp;$AB58,'Comorb data'!$A$3:$AE$170,12,FALSE)),ISBLANK(VLOOKUP($Y$40&amp;$Z58&amp;$AB58,'Comorb data'!$A$3:$AE$170,12,FALSE))),"",VLOOKUP($Y$40&amp;$Z58&amp;$AB58,'Comorb data'!$A$3:$AE$170,12,FALSE))</f>
        <v>8.4905660377358486E-2</v>
      </c>
    </row>
    <row r="59" spans="4:36" x14ac:dyDescent="0.25">
      <c r="Y59" s="25"/>
      <c r="Z59" s="25"/>
      <c r="AA59" s="25"/>
      <c r="AB59" s="67"/>
      <c r="AC59" s="20"/>
      <c r="AD59" s="20"/>
      <c r="AE59" s="20"/>
      <c r="AF59" s="20"/>
      <c r="AG59" s="20"/>
      <c r="AH59" s="20"/>
      <c r="AI59" s="20"/>
      <c r="AJ59" s="20"/>
    </row>
    <row r="60" spans="4:36" x14ac:dyDescent="0.25">
      <c r="Y60" s="25"/>
      <c r="Z60" s="25" t="s">
        <v>3</v>
      </c>
      <c r="AA60" s="25" t="s">
        <v>3</v>
      </c>
      <c r="AB60" s="67">
        <v>0</v>
      </c>
      <c r="AC60" s="20">
        <f>IF(OR(ISERROR(VLOOKUP($Y$40&amp;$Z60&amp;$AB60,'Comorb data'!$A$3:$AE$170,5,FALSE)),ISBLANK(VLOOKUP($Y$40&amp;$Z60&amp;$AB60,'Comorb data'!$A$3:$AE$170,5,FALSE))),"",VLOOKUP($Y$40&amp;$Z60&amp;$AB60,'Comorb data'!$A$3:$AE$170,5,FALSE))</f>
        <v>6.7684331797235028E-2</v>
      </c>
      <c r="AD60" s="20">
        <f>IF(OR(ISERROR(VLOOKUP($Y$40&amp;$Z60&amp;$AB60,'Comorb data'!$A$3:$AE$170,6,FALSE)),ISBLANK(VLOOKUP($Y$40&amp;$Z60&amp;$AB60,'Comorb data'!$A$3:$AE$170,6,FALSE))),"",VLOOKUP($Y$40&amp;$Z60&amp;$AB60,'Comorb data'!$A$3:$AE$170,6,FALSE))</f>
        <v>6.4804147465437792E-2</v>
      </c>
      <c r="AE60" s="20">
        <f>IF(OR(ISERROR(VLOOKUP($Y$40&amp;$Z60&amp;$AB60,'Comorb data'!$A$3:$AE$170,7,FALSE)),ISBLANK(VLOOKUP($Y$40&amp;$Z60&amp;$AB60,'Comorb data'!$A$3:$AE$170,7,FALSE))),"",VLOOKUP($Y$40&amp;$Z60&amp;$AB60,'Comorb data'!$A$3:$AE$170,7,FALSE))</f>
        <v>9.5046082949308761E-2</v>
      </c>
      <c r="AF60" s="20">
        <f>IF(OR(ISERROR(VLOOKUP($Y$40&amp;$Z60&amp;$AB60,'Comorb data'!$A$3:$AE$170,8,FALSE)),ISBLANK(VLOOKUP($Y$40&amp;$Z60&amp;$AB60,'Comorb data'!$A$3:$AE$170,8,FALSE))),"",VLOOKUP($Y$40&amp;$Z60&amp;$AB60,'Comorb data'!$A$3:$AE$170,8,FALSE))</f>
        <v>1.5841013824884793E-2</v>
      </c>
      <c r="AG60" s="20">
        <f>IF(OR(ISERROR(VLOOKUP($Y$40&amp;$Z60&amp;$AB60,'Comorb data'!$A$3:$AE$170,9,FALSE)),ISBLANK(VLOOKUP($Y$40&amp;$Z60&amp;$AB60,'Comorb data'!$A$3:$AE$170,9,FALSE))),"",VLOOKUP($Y$40&amp;$Z60&amp;$AB60,'Comorb data'!$A$3:$AE$170,9,FALSE))</f>
        <v>6.1059907834101382E-2</v>
      </c>
      <c r="AH60" s="20">
        <f>IF(OR(ISERROR(VLOOKUP($Y$40&amp;$Z60&amp;$AB60,'Comorb data'!$A$3:$AE$170,10,FALSE)),ISBLANK(VLOOKUP($Y$40&amp;$Z60&amp;$AB60,'Comorb data'!$A$3:$AE$170,10,FALSE))),"",VLOOKUP($Y$40&amp;$Z60&amp;$AB60,'Comorb data'!$A$3:$AE$170,10,FALSE))</f>
        <v>5.6163594470046083E-2</v>
      </c>
      <c r="AI60" s="20">
        <f>IF(OR(ISERROR(VLOOKUP($Y$40&amp;$Z60&amp;$AB60,'Comorb data'!$A$3:$AE$170,11,FALSE)),ISBLANK(VLOOKUP($Y$40&amp;$Z60&amp;$AB60,'Comorb data'!$A$3:$AE$170,11,FALSE))),"",VLOOKUP($Y$40&amp;$Z60&amp;$AB60,'Comorb data'!$A$3:$AE$170,11,FALSE))</f>
        <v>0.57200460829493083</v>
      </c>
      <c r="AJ60" s="20">
        <f>IF(OR(ISERROR(VLOOKUP($Y$40&amp;$Z60&amp;$AB60,'Comorb data'!$A$3:$AE$170,12,FALSE)),ISBLANK(VLOOKUP($Y$40&amp;$Z60&amp;$AB60,'Comorb data'!$A$3:$AE$170,12,FALSE))),"",VLOOKUP($Y$40&amp;$Z60&amp;$AB60,'Comorb data'!$A$3:$AE$170,12,FALSE))</f>
        <v>6.7396313364055299E-2</v>
      </c>
    </row>
    <row r="61" spans="4:36" x14ac:dyDescent="0.25">
      <c r="Y61" s="25"/>
      <c r="Z61" s="25" t="s">
        <v>3</v>
      </c>
      <c r="AA61" s="25"/>
      <c r="AB61" s="67">
        <v>1</v>
      </c>
      <c r="AC61" s="20">
        <f>IF(OR(ISERROR(VLOOKUP($Y$40&amp;$Z61&amp;$AB61,'Comorb data'!$A$3:$AE$170,5,FALSE)),ISBLANK(VLOOKUP($Y$40&amp;$Z61&amp;$AB61,'Comorb data'!$A$3:$AE$170,5,FALSE))),"",VLOOKUP($Y$40&amp;$Z61&amp;$AB61,'Comorb data'!$A$3:$AE$170,5,FALSE))</f>
        <v>6.8298969072164942E-2</v>
      </c>
      <c r="AD61" s="20">
        <f>IF(OR(ISERROR(VLOOKUP($Y$40&amp;$Z61&amp;$AB61,'Comorb data'!$A$3:$AE$170,6,FALSE)),ISBLANK(VLOOKUP($Y$40&amp;$Z61&amp;$AB61,'Comorb data'!$A$3:$AE$170,6,FALSE))),"",VLOOKUP($Y$40&amp;$Z61&amp;$AB61,'Comorb data'!$A$3:$AE$170,6,FALSE))</f>
        <v>1.804123711340206E-2</v>
      </c>
      <c r="AE61" s="20">
        <f>IF(OR(ISERROR(VLOOKUP($Y$40&amp;$Z61&amp;$AB61,'Comorb data'!$A$3:$AE$170,7,FALSE)),ISBLANK(VLOOKUP($Y$40&amp;$Z61&amp;$AB61,'Comorb data'!$A$3:$AE$170,7,FALSE))),"",VLOOKUP($Y$40&amp;$Z61&amp;$AB61,'Comorb data'!$A$3:$AE$170,7,FALSE))</f>
        <v>7.4742268041237112E-2</v>
      </c>
      <c r="AF61" s="20">
        <f>IF(OR(ISERROR(VLOOKUP($Y$40&amp;$Z61&amp;$AB61,'Comorb data'!$A$3:$AE$170,8,FALSE)),ISBLANK(VLOOKUP($Y$40&amp;$Z61&amp;$AB61,'Comorb data'!$A$3:$AE$170,8,FALSE))),"",VLOOKUP($Y$40&amp;$Z61&amp;$AB61,'Comorb data'!$A$3:$AE$170,8,FALSE))</f>
        <v>1.4175257731958763E-2</v>
      </c>
      <c r="AG61" s="20">
        <f>IF(OR(ISERROR(VLOOKUP($Y$40&amp;$Z61&amp;$AB61,'Comorb data'!$A$3:$AE$170,9,FALSE)),ISBLANK(VLOOKUP($Y$40&amp;$Z61&amp;$AB61,'Comorb data'!$A$3:$AE$170,9,FALSE))),"",VLOOKUP($Y$40&amp;$Z61&amp;$AB61,'Comorb data'!$A$3:$AE$170,9,FALSE))</f>
        <v>6.3144329896907214E-2</v>
      </c>
      <c r="AH61" s="20">
        <f>IF(OR(ISERROR(VLOOKUP($Y$40&amp;$Z61&amp;$AB61,'Comorb data'!$A$3:$AE$170,10,FALSE)),ISBLANK(VLOOKUP($Y$40&amp;$Z61&amp;$AB61,'Comorb data'!$A$3:$AE$170,10,FALSE))),"",VLOOKUP($Y$40&amp;$Z61&amp;$AB61,'Comorb data'!$A$3:$AE$170,10,FALSE))</f>
        <v>2.4484536082474227E-2</v>
      </c>
      <c r="AI61" s="20">
        <f>IF(OR(ISERROR(VLOOKUP($Y$40&amp;$Z61&amp;$AB61,'Comorb data'!$A$3:$AE$170,11,FALSE)),ISBLANK(VLOOKUP($Y$40&amp;$Z61&amp;$AB61,'Comorb data'!$A$3:$AE$170,11,FALSE))),"",VLOOKUP($Y$40&amp;$Z61&amp;$AB61,'Comorb data'!$A$3:$AE$170,11,FALSE))</f>
        <v>0.70618556701030932</v>
      </c>
      <c r="AJ61" s="20">
        <f>IF(OR(ISERROR(VLOOKUP($Y$40&amp;$Z61&amp;$AB61,'Comorb data'!$A$3:$AE$170,12,FALSE)),ISBLANK(VLOOKUP($Y$40&amp;$Z61&amp;$AB61,'Comorb data'!$A$3:$AE$170,12,FALSE))),"",VLOOKUP($Y$40&amp;$Z61&amp;$AB61,'Comorb data'!$A$3:$AE$170,12,FALSE))</f>
        <v>3.0927835051546393E-2</v>
      </c>
    </row>
    <row r="62" spans="4:36" x14ac:dyDescent="0.25">
      <c r="Y62" s="25"/>
      <c r="Z62" s="25" t="s">
        <v>3</v>
      </c>
      <c r="AA62" s="25"/>
      <c r="AB62" s="67">
        <v>2</v>
      </c>
      <c r="AC62" s="20">
        <f>IF(OR(ISERROR(VLOOKUP($Y$40&amp;$Z62&amp;$AB62,'Comorb data'!$A$3:$AE$170,5,FALSE)),ISBLANK(VLOOKUP($Y$40&amp;$Z62&amp;$AB62,'Comorb data'!$A$3:$AE$170,5,FALSE))),"",VLOOKUP($Y$40&amp;$Z62&amp;$AB62,'Comorb data'!$A$3:$AE$170,5,FALSE))</f>
        <v>0.10860655737704918</v>
      </c>
      <c r="AD62" s="20">
        <f>IF(OR(ISERROR(VLOOKUP($Y$40&amp;$Z62&amp;$AB62,'Comorb data'!$A$3:$AE$170,6,FALSE)),ISBLANK(VLOOKUP($Y$40&amp;$Z62&amp;$AB62,'Comorb data'!$A$3:$AE$170,6,FALSE))),"",VLOOKUP($Y$40&amp;$Z62&amp;$AB62,'Comorb data'!$A$3:$AE$170,6,FALSE))</f>
        <v>4.3032786885245901E-2</v>
      </c>
      <c r="AE62" s="20">
        <f>IF(OR(ISERROR(VLOOKUP($Y$40&amp;$Z62&amp;$AB62,'Comorb data'!$A$3:$AE$170,7,FALSE)),ISBLANK(VLOOKUP($Y$40&amp;$Z62&amp;$AB62,'Comorb data'!$A$3:$AE$170,7,FALSE))),"",VLOOKUP($Y$40&amp;$Z62&amp;$AB62,'Comorb data'!$A$3:$AE$170,7,FALSE))</f>
        <v>5.5327868852459015E-2</v>
      </c>
      <c r="AF62" s="20">
        <f>IF(OR(ISERROR(VLOOKUP($Y$40&amp;$Z62&amp;$AB62,'Comorb data'!$A$3:$AE$170,8,FALSE)),ISBLANK(VLOOKUP($Y$40&amp;$Z62&amp;$AB62,'Comorb data'!$A$3:$AE$170,8,FALSE))),"",VLOOKUP($Y$40&amp;$Z62&amp;$AB62,'Comorb data'!$A$3:$AE$170,8,FALSE))</f>
        <v>2.4590163934426229E-2</v>
      </c>
      <c r="AG62" s="20">
        <f>IF(OR(ISERROR(VLOOKUP($Y$40&amp;$Z62&amp;$AB62,'Comorb data'!$A$3:$AE$170,9,FALSE)),ISBLANK(VLOOKUP($Y$40&amp;$Z62&amp;$AB62,'Comorb data'!$A$3:$AE$170,9,FALSE))),"",VLOOKUP($Y$40&amp;$Z62&amp;$AB62,'Comorb data'!$A$3:$AE$170,9,FALSE))</f>
        <v>5.3278688524590161E-2</v>
      </c>
      <c r="AH62" s="20">
        <f>IF(OR(ISERROR(VLOOKUP($Y$40&amp;$Z62&amp;$AB62,'Comorb data'!$A$3:$AE$170,10,FALSE)),ISBLANK(VLOOKUP($Y$40&amp;$Z62&amp;$AB62,'Comorb data'!$A$3:$AE$170,10,FALSE))),"",VLOOKUP($Y$40&amp;$Z62&amp;$AB62,'Comorb data'!$A$3:$AE$170,10,FALSE))</f>
        <v>2.2540983606557378E-2</v>
      </c>
      <c r="AI62" s="20">
        <f>IF(OR(ISERROR(VLOOKUP($Y$40&amp;$Z62&amp;$AB62,'Comorb data'!$A$3:$AE$170,11,FALSE)),ISBLANK(VLOOKUP($Y$40&amp;$Z62&amp;$AB62,'Comorb data'!$A$3:$AE$170,11,FALSE))),"",VLOOKUP($Y$40&amp;$Z62&amp;$AB62,'Comorb data'!$A$3:$AE$170,11,FALSE))</f>
        <v>0.66803278688524592</v>
      </c>
      <c r="AJ62" s="20">
        <f>IF(OR(ISERROR(VLOOKUP($Y$40&amp;$Z62&amp;$AB62,'Comorb data'!$A$3:$AE$170,12,FALSE)),ISBLANK(VLOOKUP($Y$40&amp;$Z62&amp;$AB62,'Comorb data'!$A$3:$AE$170,12,FALSE))),"",VLOOKUP($Y$40&amp;$Z62&amp;$AB62,'Comorb data'!$A$3:$AE$170,12,FALSE))</f>
        <v>2.4590163934426229E-2</v>
      </c>
    </row>
    <row r="63" spans="4:36" x14ac:dyDescent="0.25">
      <c r="Y63" s="25"/>
      <c r="Z63" s="25" t="s">
        <v>3</v>
      </c>
      <c r="AA63" s="25"/>
      <c r="AB63" s="67" t="s">
        <v>40</v>
      </c>
      <c r="AC63" s="20">
        <f>IF(OR(ISERROR(VLOOKUP($Y$40&amp;$Z63&amp;$AB63,'Comorb data'!$A$3:$AE$170,5,FALSE)),ISBLANK(VLOOKUP($Y$40&amp;$Z63&amp;$AB63,'Comorb data'!$A$3:$AE$170,5,FALSE))),"",VLOOKUP($Y$40&amp;$Z63&amp;$AB63,'Comorb data'!$A$3:$AE$170,5,FALSE))</f>
        <v>7.4782608695652175E-2</v>
      </c>
      <c r="AD63" s="20">
        <f>IF(OR(ISERROR(VLOOKUP($Y$40&amp;$Z63&amp;$AB63,'Comorb data'!$A$3:$AE$170,6,FALSE)),ISBLANK(VLOOKUP($Y$40&amp;$Z63&amp;$AB63,'Comorb data'!$A$3:$AE$170,6,FALSE))),"",VLOOKUP($Y$40&amp;$Z63&amp;$AB63,'Comorb data'!$A$3:$AE$170,6,FALSE))</f>
        <v>0.04</v>
      </c>
      <c r="AE63" s="20">
        <f>IF(OR(ISERROR(VLOOKUP($Y$40&amp;$Z63&amp;$AB63,'Comorb data'!$A$3:$AE$170,7,FALSE)),ISBLANK(VLOOKUP($Y$40&amp;$Z63&amp;$AB63,'Comorb data'!$A$3:$AE$170,7,FALSE))),"",VLOOKUP($Y$40&amp;$Z63&amp;$AB63,'Comorb data'!$A$3:$AE$170,7,FALSE))</f>
        <v>3.826086956521739E-2</v>
      </c>
      <c r="AF63" s="20">
        <f>IF(OR(ISERROR(VLOOKUP($Y$40&amp;$Z63&amp;$AB63,'Comorb data'!$A$3:$AE$170,8,FALSE)),ISBLANK(VLOOKUP($Y$40&amp;$Z63&amp;$AB63,'Comorb data'!$A$3:$AE$170,8,FALSE))),"",VLOOKUP($Y$40&amp;$Z63&amp;$AB63,'Comorb data'!$A$3:$AE$170,8,FALSE))</f>
        <v>1.0434782608695653E-2</v>
      </c>
      <c r="AG63" s="20">
        <f>IF(OR(ISERROR(VLOOKUP($Y$40&amp;$Z63&amp;$AB63,'Comorb data'!$A$3:$AE$170,9,FALSE)),ISBLANK(VLOOKUP($Y$40&amp;$Z63&amp;$AB63,'Comorb data'!$A$3:$AE$170,9,FALSE))),"",VLOOKUP($Y$40&amp;$Z63&amp;$AB63,'Comorb data'!$A$3:$AE$170,9,FALSE))</f>
        <v>5.2173913043478258E-2</v>
      </c>
      <c r="AH63" s="20">
        <f>IF(OR(ISERROR(VLOOKUP($Y$40&amp;$Z63&amp;$AB63,'Comorb data'!$A$3:$AE$170,10,FALSE)),ISBLANK(VLOOKUP($Y$40&amp;$Z63&amp;$AB63,'Comorb data'!$A$3:$AE$170,10,FALSE))),"",VLOOKUP($Y$40&amp;$Z63&amp;$AB63,'Comorb data'!$A$3:$AE$170,10,FALSE))</f>
        <v>1.0434782608695653E-2</v>
      </c>
      <c r="AI63" s="20">
        <f>IF(OR(ISERROR(VLOOKUP($Y$40&amp;$Z63&amp;$AB63,'Comorb data'!$A$3:$AE$170,11,FALSE)),ISBLANK(VLOOKUP($Y$40&amp;$Z63&amp;$AB63,'Comorb data'!$A$3:$AE$170,11,FALSE))),"",VLOOKUP($Y$40&amp;$Z63&amp;$AB63,'Comorb data'!$A$3:$AE$170,11,FALSE))</f>
        <v>0.768695652173913</v>
      </c>
      <c r="AJ63" s="20">
        <f>IF(OR(ISERROR(VLOOKUP($Y$40&amp;$Z63&amp;$AB63,'Comorb data'!$A$3:$AE$170,12,FALSE)),ISBLANK(VLOOKUP($Y$40&amp;$Z63&amp;$AB63,'Comorb data'!$A$3:$AE$170,12,FALSE))),"",VLOOKUP($Y$40&amp;$Z63&amp;$AB63,'Comorb data'!$A$3:$AE$170,12,FALSE))</f>
        <v>5.2173913043478265E-3</v>
      </c>
    </row>
    <row r="64" spans="4:36" x14ac:dyDescent="0.25">
      <c r="Y64" s="25"/>
      <c r="Z64" s="25"/>
      <c r="AA64" s="25"/>
      <c r="AB64" s="67"/>
      <c r="AC64" s="20"/>
      <c r="AD64" s="20"/>
      <c r="AE64" s="20"/>
      <c r="AF64" s="20"/>
      <c r="AG64" s="20"/>
      <c r="AH64" s="20"/>
      <c r="AI64" s="20"/>
      <c r="AJ64" s="20"/>
    </row>
    <row r="65" spans="17:36" x14ac:dyDescent="0.25">
      <c r="Y65" s="25"/>
      <c r="Z65" s="25" t="s">
        <v>4</v>
      </c>
      <c r="AA65" s="25" t="s">
        <v>4</v>
      </c>
      <c r="AB65" s="67">
        <v>0</v>
      </c>
      <c r="AC65" s="20">
        <f>IF(OR(ISERROR(VLOOKUP($Y$40&amp;$Z65&amp;$AB65,'Comorb data'!$A$3:$AE$170,5,FALSE)),ISBLANK(VLOOKUP($Y$40&amp;$Z65&amp;$AB65,'Comorb data'!$A$3:$AE$170,5,FALSE))),"",VLOOKUP($Y$40&amp;$Z65&amp;$AB65,'Comorb data'!$A$3:$AE$170,5,FALSE))</f>
        <v>0.25749833370362141</v>
      </c>
      <c r="AD65" s="20">
        <f>IF(OR(ISERROR(VLOOKUP($Y$40&amp;$Z65&amp;$AB65,'Comorb data'!$A$3:$AE$170,6,FALSE)),ISBLANK(VLOOKUP($Y$40&amp;$Z65&amp;$AB65,'Comorb data'!$A$3:$AE$170,6,FALSE))),"",VLOOKUP($Y$40&amp;$Z65&amp;$AB65,'Comorb data'!$A$3:$AE$170,6,FALSE))</f>
        <v>2.4216840702066207E-2</v>
      </c>
      <c r="AE65" s="20">
        <f>IF(OR(ISERROR(VLOOKUP($Y$40&amp;$Z65&amp;$AB65,'Comorb data'!$A$3:$AE$170,7,FALSE)),ISBLANK(VLOOKUP($Y$40&amp;$Z65&amp;$AB65,'Comorb data'!$A$3:$AE$170,7,FALSE))),"",VLOOKUP($Y$40&amp;$Z65&amp;$AB65,'Comorb data'!$A$3:$AE$170,7,FALSE))</f>
        <v>5.2654965563208173E-2</v>
      </c>
      <c r="AF65" s="20">
        <f>IF(OR(ISERROR(VLOOKUP($Y$40&amp;$Z65&amp;$AB65,'Comorb data'!$A$3:$AE$170,8,FALSE)),ISBLANK(VLOOKUP($Y$40&amp;$Z65&amp;$AB65,'Comorb data'!$A$3:$AE$170,8,FALSE))),"",VLOOKUP($Y$40&amp;$Z65&amp;$AB65,'Comorb data'!$A$3:$AE$170,8,FALSE))</f>
        <v>5.9542323928015999E-2</v>
      </c>
      <c r="AG65" s="20">
        <f>IF(OR(ISERROR(VLOOKUP($Y$40&amp;$Z65&amp;$AB65,'Comorb data'!$A$3:$AE$170,9,FALSE)),ISBLANK(VLOOKUP($Y$40&amp;$Z65&amp;$AB65,'Comorb data'!$A$3:$AE$170,9,FALSE))),"",VLOOKUP($Y$40&amp;$Z65&amp;$AB65,'Comorb data'!$A$3:$AE$170,9,FALSE))</f>
        <v>0.25261053099311265</v>
      </c>
      <c r="AH65" s="20">
        <f>IF(OR(ISERROR(VLOOKUP($Y$40&amp;$Z65&amp;$AB65,'Comorb data'!$A$3:$AE$170,10,FALSE)),ISBLANK(VLOOKUP($Y$40&amp;$Z65&amp;$AB65,'Comorb data'!$A$3:$AE$170,10,FALSE))),"",VLOOKUP($Y$40&amp;$Z65&amp;$AB65,'Comorb data'!$A$3:$AE$170,10,FALSE))</f>
        <v>3.0659853365918685E-2</v>
      </c>
      <c r="AI65" s="20">
        <f>IF(OR(ISERROR(VLOOKUP($Y$40&amp;$Z65&amp;$AB65,'Comorb data'!$A$3:$AE$170,11,FALSE)),ISBLANK(VLOOKUP($Y$40&amp;$Z65&amp;$AB65,'Comorb data'!$A$3:$AE$170,11,FALSE))),"",VLOOKUP($Y$40&amp;$Z65&amp;$AB65,'Comorb data'!$A$3:$AE$170,11,FALSE))</f>
        <v>0.17751610753165964</v>
      </c>
      <c r="AJ65" s="20">
        <f>IF(OR(ISERROR(VLOOKUP($Y$40&amp;$Z65&amp;$AB65,'Comorb data'!$A$3:$AE$170,12,FALSE)),ISBLANK(VLOOKUP($Y$40&amp;$Z65&amp;$AB65,'Comorb data'!$A$3:$AE$170,12,FALSE))),"",VLOOKUP($Y$40&amp;$Z65&amp;$AB65,'Comorb data'!$A$3:$AE$170,12,FALSE))</f>
        <v>0.14530104421239726</v>
      </c>
    </row>
    <row r="66" spans="17:36" x14ac:dyDescent="0.25">
      <c r="Y66" s="25"/>
      <c r="Z66" s="25" t="s">
        <v>4</v>
      </c>
      <c r="AA66" s="25"/>
      <c r="AB66" s="67">
        <v>1</v>
      </c>
      <c r="AC66" s="20">
        <f>IF(OR(ISERROR(VLOOKUP($Y$40&amp;$Z66&amp;$AB66,'Comorb data'!$A$3:$AE$170,5,FALSE)),ISBLANK(VLOOKUP($Y$40&amp;$Z66&amp;$AB66,'Comorb data'!$A$3:$AE$170,5,FALSE))),"",VLOOKUP($Y$40&amp;$Z66&amp;$AB66,'Comorb data'!$A$3:$AE$170,5,FALSE))</f>
        <v>0.20161290322580644</v>
      </c>
      <c r="AD66" s="20">
        <f>IF(OR(ISERROR(VLOOKUP($Y$40&amp;$Z66&amp;$AB66,'Comorb data'!$A$3:$AE$170,6,FALSE)),ISBLANK(VLOOKUP($Y$40&amp;$Z66&amp;$AB66,'Comorb data'!$A$3:$AE$170,6,FALSE))),"",VLOOKUP($Y$40&amp;$Z66&amp;$AB66,'Comorb data'!$A$3:$AE$170,6,FALSE))</f>
        <v>1.6129032258064516E-2</v>
      </c>
      <c r="AE66" s="20">
        <f>IF(OR(ISERROR(VLOOKUP($Y$40&amp;$Z66&amp;$AB66,'Comorb data'!$A$3:$AE$170,7,FALSE)),ISBLANK(VLOOKUP($Y$40&amp;$Z66&amp;$AB66,'Comorb data'!$A$3:$AE$170,7,FALSE))),"",VLOOKUP($Y$40&amp;$Z66&amp;$AB66,'Comorb data'!$A$3:$AE$170,7,FALSE))</f>
        <v>5.6451612903225805E-2</v>
      </c>
      <c r="AF66" s="20">
        <f>IF(OR(ISERROR(VLOOKUP($Y$40&amp;$Z66&amp;$AB66,'Comorb data'!$A$3:$AE$170,8,FALSE)),ISBLANK(VLOOKUP($Y$40&amp;$Z66&amp;$AB66,'Comorb data'!$A$3:$AE$170,8,FALSE))),"",VLOOKUP($Y$40&amp;$Z66&amp;$AB66,'Comorb data'!$A$3:$AE$170,8,FALSE))</f>
        <v>7.2580645161290328E-2</v>
      </c>
      <c r="AG66" s="20">
        <f>IF(OR(ISERROR(VLOOKUP($Y$40&amp;$Z66&amp;$AB66,'Comorb data'!$A$3:$AE$170,9,FALSE)),ISBLANK(VLOOKUP($Y$40&amp;$Z66&amp;$AB66,'Comorb data'!$A$3:$AE$170,9,FALSE))),"",VLOOKUP($Y$40&amp;$Z66&amp;$AB66,'Comorb data'!$A$3:$AE$170,9,FALSE))</f>
        <v>0.25403225806451613</v>
      </c>
      <c r="AH66" s="20">
        <f>IF(OR(ISERROR(VLOOKUP($Y$40&amp;$Z66&amp;$AB66,'Comorb data'!$A$3:$AE$170,10,FALSE)),ISBLANK(VLOOKUP($Y$40&amp;$Z66&amp;$AB66,'Comorb data'!$A$3:$AE$170,10,FALSE))),"",VLOOKUP($Y$40&amp;$Z66&amp;$AB66,'Comorb data'!$A$3:$AE$170,10,FALSE))</f>
        <v>8.0645161290322578E-3</v>
      </c>
      <c r="AI66" s="20">
        <f>IF(OR(ISERROR(VLOOKUP($Y$40&amp;$Z66&amp;$AB66,'Comorb data'!$A$3:$AE$170,11,FALSE)),ISBLANK(VLOOKUP($Y$40&amp;$Z66&amp;$AB66,'Comorb data'!$A$3:$AE$170,11,FALSE))),"",VLOOKUP($Y$40&amp;$Z66&amp;$AB66,'Comorb data'!$A$3:$AE$170,11,FALSE))</f>
        <v>0.23790322580645162</v>
      </c>
      <c r="AJ66" s="20">
        <f>IF(OR(ISERROR(VLOOKUP($Y$40&amp;$Z66&amp;$AB66,'Comorb data'!$A$3:$AE$170,12,FALSE)),ISBLANK(VLOOKUP($Y$40&amp;$Z66&amp;$AB66,'Comorb data'!$A$3:$AE$170,12,FALSE))),"",VLOOKUP($Y$40&amp;$Z66&amp;$AB66,'Comorb data'!$A$3:$AE$170,12,FALSE))</f>
        <v>0.15322580645161291</v>
      </c>
    </row>
    <row r="67" spans="17:36" x14ac:dyDescent="0.25">
      <c r="Y67" s="25"/>
      <c r="Z67" s="25" t="s">
        <v>4</v>
      </c>
      <c r="AA67" s="25"/>
      <c r="AB67" s="67">
        <v>2</v>
      </c>
      <c r="AC67" s="20">
        <f>IF(OR(ISERROR(VLOOKUP($Y$40&amp;$Z67&amp;$AB67,'Comorb data'!$A$3:$AE$170,5,FALSE)),ISBLANK(VLOOKUP($Y$40&amp;$Z67&amp;$AB67,'Comorb data'!$A$3:$AE$170,5,FALSE))),"",VLOOKUP($Y$40&amp;$Z67&amp;$AB67,'Comorb data'!$A$3:$AE$170,5,FALSE))</f>
        <v>0.30102040816326531</v>
      </c>
      <c r="AD67" s="20">
        <f>IF(OR(ISERROR(VLOOKUP($Y$40&amp;$Z67&amp;$AB67,'Comorb data'!$A$3:$AE$170,6,FALSE)),ISBLANK(VLOOKUP($Y$40&amp;$Z67&amp;$AB67,'Comorb data'!$A$3:$AE$170,6,FALSE))),"",VLOOKUP($Y$40&amp;$Z67&amp;$AB67,'Comorb data'!$A$3:$AE$170,6,FALSE))</f>
        <v>2.0408163265306121E-2</v>
      </c>
      <c r="AE67" s="20">
        <f>IF(OR(ISERROR(VLOOKUP($Y$40&amp;$Z67&amp;$AB67,'Comorb data'!$A$3:$AE$170,7,FALSE)),ISBLANK(VLOOKUP($Y$40&amp;$Z67&amp;$AB67,'Comorb data'!$A$3:$AE$170,7,FALSE))),"",VLOOKUP($Y$40&amp;$Z67&amp;$AB67,'Comorb data'!$A$3:$AE$170,7,FALSE))</f>
        <v>4.0816326530612242E-2</v>
      </c>
      <c r="AF67" s="20">
        <f>IF(OR(ISERROR(VLOOKUP($Y$40&amp;$Z67&amp;$AB67,'Comorb data'!$A$3:$AE$170,8,FALSE)),ISBLANK(VLOOKUP($Y$40&amp;$Z67&amp;$AB67,'Comorb data'!$A$3:$AE$170,8,FALSE))),"",VLOOKUP($Y$40&amp;$Z67&amp;$AB67,'Comorb data'!$A$3:$AE$170,8,FALSE))</f>
        <v>5.1020408163265307E-2</v>
      </c>
      <c r="AG67" s="20">
        <f>IF(OR(ISERROR(VLOOKUP($Y$40&amp;$Z67&amp;$AB67,'Comorb data'!$A$3:$AE$170,9,FALSE)),ISBLANK(VLOOKUP($Y$40&amp;$Z67&amp;$AB67,'Comorb data'!$A$3:$AE$170,9,FALSE))),"",VLOOKUP($Y$40&amp;$Z67&amp;$AB67,'Comorb data'!$A$3:$AE$170,9,FALSE))</f>
        <v>0.27551020408163263</v>
      </c>
      <c r="AH67" s="20">
        <f>IF(OR(ISERROR(VLOOKUP($Y$40&amp;$Z67&amp;$AB67,'Comorb data'!$A$3:$AE$170,10,FALSE)),ISBLANK(VLOOKUP($Y$40&amp;$Z67&amp;$AB67,'Comorb data'!$A$3:$AE$170,10,FALSE))),"",VLOOKUP($Y$40&amp;$Z67&amp;$AB67,'Comorb data'!$A$3:$AE$170,10,FALSE))</f>
        <v>5.1020408163265302E-3</v>
      </c>
      <c r="AI67" s="20">
        <f>IF(OR(ISERROR(VLOOKUP($Y$40&amp;$Z67&amp;$AB67,'Comorb data'!$A$3:$AE$170,11,FALSE)),ISBLANK(VLOOKUP($Y$40&amp;$Z67&amp;$AB67,'Comorb data'!$A$3:$AE$170,11,FALSE))),"",VLOOKUP($Y$40&amp;$Z67&amp;$AB67,'Comorb data'!$A$3:$AE$170,11,FALSE))</f>
        <v>0.20408163265306123</v>
      </c>
      <c r="AJ67" s="20">
        <f>IF(OR(ISERROR(VLOOKUP($Y$40&amp;$Z67&amp;$AB67,'Comorb data'!$A$3:$AE$170,12,FALSE)),ISBLANK(VLOOKUP($Y$40&amp;$Z67&amp;$AB67,'Comorb data'!$A$3:$AE$170,12,FALSE))),"",VLOOKUP($Y$40&amp;$Z67&amp;$AB67,'Comorb data'!$A$3:$AE$170,12,FALSE))</f>
        <v>0.10204081632653061</v>
      </c>
    </row>
    <row r="68" spans="17:36" x14ac:dyDescent="0.25">
      <c r="Y68" s="25"/>
      <c r="Z68" s="25" t="s">
        <v>4</v>
      </c>
      <c r="AA68" s="25"/>
      <c r="AB68" s="67" t="s">
        <v>40</v>
      </c>
      <c r="AC68" s="20">
        <f>IF(OR(ISERROR(VLOOKUP($Y$40&amp;$Z68&amp;$AB68,'Comorb data'!$A$3:$AE$170,5,FALSE)),ISBLANK(VLOOKUP($Y$40&amp;$Z68&amp;$AB68,'Comorb data'!$A$3:$AE$170,5,FALSE))),"",VLOOKUP($Y$40&amp;$Z68&amp;$AB68,'Comorb data'!$A$3:$AE$170,5,FALSE))</f>
        <v>0.25490196078431371</v>
      </c>
      <c r="AD68" s="20">
        <f>IF(OR(ISERROR(VLOOKUP($Y$40&amp;$Z68&amp;$AB68,'Comorb data'!$A$3:$AE$170,6,FALSE)),ISBLANK(VLOOKUP($Y$40&amp;$Z68&amp;$AB68,'Comorb data'!$A$3:$AE$170,6,FALSE))),"",VLOOKUP($Y$40&amp;$Z68&amp;$AB68,'Comorb data'!$A$3:$AE$170,6,FALSE))</f>
        <v>1.9607843137254902E-2</v>
      </c>
      <c r="AE68" s="20">
        <f>IF(OR(ISERROR(VLOOKUP($Y$40&amp;$Z68&amp;$AB68,'Comorb data'!$A$3:$AE$170,7,FALSE)),ISBLANK(VLOOKUP($Y$40&amp;$Z68&amp;$AB68,'Comorb data'!$A$3:$AE$170,7,FALSE))),"",VLOOKUP($Y$40&amp;$Z68&amp;$AB68,'Comorb data'!$A$3:$AE$170,7,FALSE))</f>
        <v>5.8823529411764705E-2</v>
      </c>
      <c r="AF68" s="20">
        <f>IF(OR(ISERROR(VLOOKUP($Y$40&amp;$Z68&amp;$AB68,'Comorb data'!$A$3:$AE$170,8,FALSE)),ISBLANK(VLOOKUP($Y$40&amp;$Z68&amp;$AB68,'Comorb data'!$A$3:$AE$170,8,FALSE))),"",VLOOKUP($Y$40&amp;$Z68&amp;$AB68,'Comorb data'!$A$3:$AE$170,8,FALSE))</f>
        <v>1.9607843137254902E-2</v>
      </c>
      <c r="AG68" s="20">
        <f>IF(OR(ISERROR(VLOOKUP($Y$40&amp;$Z68&amp;$AB68,'Comorb data'!$A$3:$AE$170,9,FALSE)),ISBLANK(VLOOKUP($Y$40&amp;$Z68&amp;$AB68,'Comorb data'!$A$3:$AE$170,9,FALSE))),"",VLOOKUP($Y$40&amp;$Z68&amp;$AB68,'Comorb data'!$A$3:$AE$170,9,FALSE))</f>
        <v>0.19607843137254902</v>
      </c>
      <c r="AH68" s="20">
        <f>IF(OR(ISERROR(VLOOKUP($Y$40&amp;$Z68&amp;$AB68,'Comorb data'!$A$3:$AE$170,10,FALSE)),ISBLANK(VLOOKUP($Y$40&amp;$Z68&amp;$AB68,'Comorb data'!$A$3:$AE$170,10,FALSE))),"",VLOOKUP($Y$40&amp;$Z68&amp;$AB68,'Comorb data'!$A$3:$AE$170,10,FALSE))</f>
        <v>0</v>
      </c>
      <c r="AI68" s="20">
        <f>IF(OR(ISERROR(VLOOKUP($Y$40&amp;$Z68&amp;$AB68,'Comorb data'!$A$3:$AE$170,11,FALSE)),ISBLANK(VLOOKUP($Y$40&amp;$Z68&amp;$AB68,'Comorb data'!$A$3:$AE$170,11,FALSE))),"",VLOOKUP($Y$40&amp;$Z68&amp;$AB68,'Comorb data'!$A$3:$AE$170,11,FALSE))</f>
        <v>0.39215686274509803</v>
      </c>
      <c r="AJ68" s="20">
        <f>IF(OR(ISERROR(VLOOKUP($Y$40&amp;$Z68&amp;$AB68,'Comorb data'!$A$3:$AE$170,12,FALSE)),ISBLANK(VLOOKUP($Y$40&amp;$Z68&amp;$AB68,'Comorb data'!$A$3:$AE$170,12,FALSE))),"",VLOOKUP($Y$40&amp;$Z68&amp;$AB68,'Comorb data'!$A$3:$AE$170,12,FALSE))</f>
        <v>5.8823529411764705E-2</v>
      </c>
    </row>
    <row r="69" spans="17:36" x14ac:dyDescent="0.25">
      <c r="Q69" s="66"/>
      <c r="Y69" s="25"/>
      <c r="Z69" s="25"/>
      <c r="AA69" s="25"/>
      <c r="AB69" s="67"/>
      <c r="AC69" s="20"/>
      <c r="AD69" s="20"/>
      <c r="AE69" s="20"/>
      <c r="AF69" s="20"/>
      <c r="AG69" s="20"/>
      <c r="AH69" s="20"/>
      <c r="AI69" s="20"/>
      <c r="AJ69" s="20"/>
    </row>
    <row r="70" spans="17:36" x14ac:dyDescent="0.25">
      <c r="Q70" s="66"/>
      <c r="Y70" s="25"/>
      <c r="Z70" s="25" t="s">
        <v>34</v>
      </c>
      <c r="AA70" s="25" t="s">
        <v>34</v>
      </c>
      <c r="AB70" s="67">
        <v>0</v>
      </c>
      <c r="AC70" s="20">
        <f>IF(OR(ISERROR(VLOOKUP($Y$40&amp;$Z70&amp;$AB70,'Comorb data'!$A$3:$AE$170,5,FALSE)),ISBLANK(VLOOKUP($Y$40&amp;$Z70&amp;$AB70,'Comorb data'!$A$3:$AE$170,5,FALSE))),"",VLOOKUP($Y$40&amp;$Z70&amp;$AB70,'Comorb data'!$A$3:$AE$170,5,FALSE))</f>
        <v>0.15223768746401514</v>
      </c>
      <c r="AD70" s="20">
        <f>IF(OR(ISERROR(VLOOKUP($Y$40&amp;$Z70&amp;$AB70,'Comorb data'!$A$3:$AE$170,6,FALSE)),ISBLANK(VLOOKUP($Y$40&amp;$Z70&amp;$AB70,'Comorb data'!$A$3:$AE$170,6,FALSE))),"",VLOOKUP($Y$40&amp;$Z70&amp;$AB70,'Comorb data'!$A$3:$AE$170,6,FALSE))</f>
        <v>1.6696977728224014E-2</v>
      </c>
      <c r="AE70" s="20">
        <f>IF(OR(ISERROR(VLOOKUP($Y$40&amp;$Z70&amp;$AB70,'Comorb data'!$A$3:$AE$170,7,FALSE)),ISBLANK(VLOOKUP($Y$40&amp;$Z70&amp;$AB70,'Comorb data'!$A$3:$AE$170,7,FALSE))),"",VLOOKUP($Y$40&amp;$Z70&amp;$AB70,'Comorb data'!$A$3:$AE$170,7,FALSE))</f>
        <v>1.8086107785525631E-2</v>
      </c>
      <c r="AF70" s="20">
        <f>IF(OR(ISERROR(VLOOKUP($Y$40&amp;$Z70&amp;$AB70,'Comorb data'!$A$3:$AE$170,8,FALSE)),ISBLANK(VLOOKUP($Y$40&amp;$Z70&amp;$AB70,'Comorb data'!$A$3:$AE$170,8,FALSE))),"",VLOOKUP($Y$40&amp;$Z70&amp;$AB70,'Comorb data'!$A$3:$AE$170,8,FALSE))</f>
        <v>6.2593103700386579E-2</v>
      </c>
      <c r="AG70" s="20">
        <f>IF(OR(ISERROR(VLOOKUP($Y$40&amp;$Z70&amp;$AB70,'Comorb data'!$A$3:$AE$170,9,FALSE)),ISBLANK(VLOOKUP($Y$40&amp;$Z70&amp;$AB70,'Comorb data'!$A$3:$AE$170,9,FALSE))),"",VLOOKUP($Y$40&amp;$Z70&amp;$AB70,'Comorb data'!$A$3:$AE$170,9,FALSE))</f>
        <v>0.35309492693358679</v>
      </c>
      <c r="AH70" s="20">
        <f>IF(OR(ISERROR(VLOOKUP($Y$40&amp;$Z70&amp;$AB70,'Comorb data'!$A$3:$AE$170,10,FALSE)),ISBLANK(VLOOKUP($Y$40&amp;$Z70&amp;$AB70,'Comorb data'!$A$3:$AE$170,10,FALSE))),"",VLOOKUP($Y$40&amp;$Z70&amp;$AB70,'Comorb data'!$A$3:$AE$170,10,FALSE))</f>
        <v>1.4092358870783488E-2</v>
      </c>
      <c r="AI70" s="20">
        <f>IF(OR(ISERROR(VLOOKUP($Y$40&amp;$Z70&amp;$AB70,'Comorb data'!$A$3:$AE$170,11,FALSE)),ISBLANK(VLOOKUP($Y$40&amp;$Z70&amp;$AB70,'Comorb data'!$A$3:$AE$170,11,FALSE))),"",VLOOKUP($Y$40&amp;$Z70&amp;$AB70,'Comorb data'!$A$3:$AE$170,11,FALSE))</f>
        <v>0.10194569598157575</v>
      </c>
      <c r="AJ70" s="20">
        <f>IF(OR(ISERROR(VLOOKUP($Y$40&amp;$Z70&amp;$AB70,'Comorb data'!$A$3:$AE$170,12,FALSE)),ISBLANK(VLOOKUP($Y$40&amp;$Z70&amp;$AB70,'Comorb data'!$A$3:$AE$170,12,FALSE))),"",VLOOKUP($Y$40&amp;$Z70&amp;$AB70,'Comorb data'!$A$3:$AE$170,12,FALSE))</f>
        <v>0.28125314153590264</v>
      </c>
    </row>
    <row r="71" spans="17:36" x14ac:dyDescent="0.25">
      <c r="Q71" s="66"/>
      <c r="Y71" s="25"/>
      <c r="Z71" s="25" t="s">
        <v>34</v>
      </c>
      <c r="AA71" s="25"/>
      <c r="AB71" s="67">
        <v>1</v>
      </c>
      <c r="AC71" s="20">
        <f>IF(OR(ISERROR(VLOOKUP($Y$40&amp;$Z71&amp;$AB71,'Comorb data'!$A$3:$AE$170,5,FALSE)),ISBLANK(VLOOKUP($Y$40&amp;$Z71&amp;$AB71,'Comorb data'!$A$3:$AE$170,5,FALSE))),"",VLOOKUP($Y$40&amp;$Z71&amp;$AB71,'Comorb data'!$A$3:$AE$170,5,FALSE))</f>
        <v>0.17996880721502678</v>
      </c>
      <c r="AD71" s="20">
        <f>IF(OR(ISERROR(VLOOKUP($Y$40&amp;$Z71&amp;$AB71,'Comorb data'!$A$3:$AE$170,6,FALSE)),ISBLANK(VLOOKUP($Y$40&amp;$Z71&amp;$AB71,'Comorb data'!$A$3:$AE$170,6,FALSE))),"",VLOOKUP($Y$40&amp;$Z71&amp;$AB71,'Comorb data'!$A$3:$AE$170,6,FALSE))</f>
        <v>1.2951786804095748E-2</v>
      </c>
      <c r="AE71" s="20">
        <f>IF(OR(ISERROR(VLOOKUP($Y$40&amp;$Z71&amp;$AB71,'Comorb data'!$A$3:$AE$170,7,FALSE)),ISBLANK(VLOOKUP($Y$40&amp;$Z71&amp;$AB71,'Comorb data'!$A$3:$AE$170,7,FALSE))),"",VLOOKUP($Y$40&amp;$Z71&amp;$AB71,'Comorb data'!$A$3:$AE$170,7,FALSE))</f>
        <v>1.9597206211432835E-2</v>
      </c>
      <c r="AF71" s="20">
        <f>IF(OR(ISERROR(VLOOKUP($Y$40&amp;$Z71&amp;$AB71,'Comorb data'!$A$3:$AE$170,8,FALSE)),ISBLANK(VLOOKUP($Y$40&amp;$Z71&amp;$AB71,'Comorb data'!$A$3:$AE$170,8,FALSE))),"",VLOOKUP($Y$40&amp;$Z71&amp;$AB71,'Comorb data'!$A$3:$AE$170,8,FALSE))</f>
        <v>4.9908455957143827E-2</v>
      </c>
      <c r="AG71" s="20">
        <f>IF(OR(ISERROR(VLOOKUP($Y$40&amp;$Z71&amp;$AB71,'Comorb data'!$A$3:$AE$170,9,FALSE)),ISBLANK(VLOOKUP($Y$40&amp;$Z71&amp;$AB71,'Comorb data'!$A$3:$AE$170,9,FALSE))),"",VLOOKUP($Y$40&amp;$Z71&amp;$AB71,'Comorb data'!$A$3:$AE$170,9,FALSE))</f>
        <v>0.33430528243032481</v>
      </c>
      <c r="AH71" s="20">
        <f>IF(OR(ISERROR(VLOOKUP($Y$40&amp;$Z71&amp;$AB71,'Comorb data'!$A$3:$AE$170,10,FALSE)),ISBLANK(VLOOKUP($Y$40&amp;$Z71&amp;$AB71,'Comorb data'!$A$3:$AE$170,10,FALSE))),"",VLOOKUP($Y$40&amp;$Z71&amp;$AB71,'Comorb data'!$A$3:$AE$170,10,FALSE))</f>
        <v>9.1544042856174131E-3</v>
      </c>
      <c r="AI71" s="20">
        <f>IF(OR(ISERROR(VLOOKUP($Y$40&amp;$Z71&amp;$AB71,'Comorb data'!$A$3:$AE$170,11,FALSE)),ISBLANK(VLOOKUP($Y$40&amp;$Z71&amp;$AB71,'Comorb data'!$A$3:$AE$170,11,FALSE))),"",VLOOKUP($Y$40&amp;$Z71&amp;$AB71,'Comorb data'!$A$3:$AE$170,11,FALSE))</f>
        <v>0.21407743947921612</v>
      </c>
      <c r="AJ71" s="20">
        <f>IF(OR(ISERROR(VLOOKUP($Y$40&amp;$Z71&amp;$AB71,'Comorb data'!$A$3:$AE$170,12,FALSE)),ISBLANK(VLOOKUP($Y$40&amp;$Z71&amp;$AB71,'Comorb data'!$A$3:$AE$170,12,FALSE))),"",VLOOKUP($Y$40&amp;$Z71&amp;$AB71,'Comorb data'!$A$3:$AE$170,12,FALSE))</f>
        <v>0.18003661761714246</v>
      </c>
    </row>
    <row r="72" spans="17:36" x14ac:dyDescent="0.25">
      <c r="Q72" s="66"/>
      <c r="Y72" s="25"/>
      <c r="Z72" s="25" t="s">
        <v>34</v>
      </c>
      <c r="AA72" s="25"/>
      <c r="AB72" s="67">
        <v>2</v>
      </c>
      <c r="AC72" s="20">
        <f>IF(OR(ISERROR(VLOOKUP($Y$40&amp;$Z72&amp;$AB72,'Comorb data'!$A$3:$AE$170,5,FALSE)),ISBLANK(VLOOKUP($Y$40&amp;$Z72&amp;$AB72,'Comorb data'!$A$3:$AE$170,5,FALSE))),"",VLOOKUP($Y$40&amp;$Z72&amp;$AB72,'Comorb data'!$A$3:$AE$170,5,FALSE))</f>
        <v>0.19246369226743426</v>
      </c>
      <c r="AD72" s="20">
        <f>IF(OR(ISERROR(VLOOKUP($Y$40&amp;$Z72&amp;$AB72,'Comorb data'!$A$3:$AE$170,6,FALSE)),ISBLANK(VLOOKUP($Y$40&amp;$Z72&amp;$AB72,'Comorb data'!$A$3:$AE$170,6,FALSE))),"",VLOOKUP($Y$40&amp;$Z72&amp;$AB72,'Comorb data'!$A$3:$AE$170,6,FALSE))</f>
        <v>2.6821928562082951E-2</v>
      </c>
      <c r="AE72" s="20">
        <f>IF(OR(ISERROR(VLOOKUP($Y$40&amp;$Z72&amp;$AB72,'Comorb data'!$A$3:$AE$170,7,FALSE)),ISBLANK(VLOOKUP($Y$40&amp;$Z72&amp;$AB72,'Comorb data'!$A$3:$AE$170,7,FALSE))),"",VLOOKUP($Y$40&amp;$Z72&amp;$AB72,'Comorb data'!$A$3:$AE$170,7,FALSE))</f>
        <v>2.198089755331676E-2</v>
      </c>
      <c r="AF72" s="20">
        <f>IF(OR(ISERROR(VLOOKUP($Y$40&amp;$Z72&amp;$AB72,'Comorb data'!$A$3:$AE$170,8,FALSE)),ISBLANK(VLOOKUP($Y$40&amp;$Z72&amp;$AB72,'Comorb data'!$A$3:$AE$170,8,FALSE))),"",VLOOKUP($Y$40&amp;$Z72&amp;$AB72,'Comorb data'!$A$3:$AE$170,8,FALSE))</f>
        <v>4.7886955384011512E-2</v>
      </c>
      <c r="AG72" s="20">
        <f>IF(OR(ISERROR(VLOOKUP($Y$40&amp;$Z72&amp;$AB72,'Comorb data'!$A$3:$AE$170,9,FALSE)),ISBLANK(VLOOKUP($Y$40&amp;$Z72&amp;$AB72,'Comorb data'!$A$3:$AE$170,9,FALSE))),"",VLOOKUP($Y$40&amp;$Z72&amp;$AB72,'Comorb data'!$A$3:$AE$170,9,FALSE))</f>
        <v>0.30524663090409526</v>
      </c>
      <c r="AH72" s="20">
        <f>IF(OR(ISERROR(VLOOKUP($Y$40&amp;$Z72&amp;$AB72,'Comorb data'!$A$3:$AE$170,10,FALSE)),ISBLANK(VLOOKUP($Y$40&amp;$Z72&amp;$AB72,'Comorb data'!$A$3:$AE$170,10,FALSE))),"",VLOOKUP($Y$40&amp;$Z72&amp;$AB72,'Comorb data'!$A$3:$AE$170,10,FALSE))</f>
        <v>1.3868899646735575E-2</v>
      </c>
      <c r="AI72" s="20">
        <f>IF(OR(ISERROR(VLOOKUP($Y$40&amp;$Z72&amp;$AB72,'Comorb data'!$A$3:$AE$170,11,FALSE)),ISBLANK(VLOOKUP($Y$40&amp;$Z72&amp;$AB72,'Comorb data'!$A$3:$AE$170,11,FALSE))),"",VLOOKUP($Y$40&amp;$Z72&amp;$AB72,'Comorb data'!$A$3:$AE$170,11,FALSE))</f>
        <v>0.26769593091717914</v>
      </c>
      <c r="AJ72" s="20">
        <f>IF(OR(ISERROR(VLOOKUP($Y$40&amp;$Z72&amp;$AB72,'Comorb data'!$A$3:$AE$170,12,FALSE)),ISBLANK(VLOOKUP($Y$40&amp;$Z72&amp;$AB72,'Comorb data'!$A$3:$AE$170,12,FALSE))),"",VLOOKUP($Y$40&amp;$Z72&amp;$AB72,'Comorb data'!$A$3:$AE$170,12,FALSE))</f>
        <v>0.12403506476514457</v>
      </c>
    </row>
    <row r="73" spans="17:36" x14ac:dyDescent="0.25">
      <c r="Y73" s="25"/>
      <c r="Z73" s="25" t="s">
        <v>34</v>
      </c>
      <c r="AA73" s="25"/>
      <c r="AB73" s="67" t="s">
        <v>40</v>
      </c>
      <c r="AC73" s="20">
        <f>IF(OR(ISERROR(VLOOKUP($Y$40&amp;$Z73&amp;$AB73,'Comorb data'!$A$3:$AE$170,5,FALSE)),ISBLANK(VLOOKUP($Y$40&amp;$Z73&amp;$AB73,'Comorb data'!$A$3:$AE$170,5,FALSE))),"",VLOOKUP($Y$40&amp;$Z73&amp;$AB73,'Comorb data'!$A$3:$AE$170,5,FALSE))</f>
        <v>0.17958961321953876</v>
      </c>
      <c r="AD73" s="20">
        <f>IF(OR(ISERROR(VLOOKUP($Y$40&amp;$Z73&amp;$AB73,'Comorb data'!$A$3:$AE$170,6,FALSE)),ISBLANK(VLOOKUP($Y$40&amp;$Z73&amp;$AB73,'Comorb data'!$A$3:$AE$170,6,FALSE))),"",VLOOKUP($Y$40&amp;$Z73&amp;$AB73,'Comorb data'!$A$3:$AE$170,6,FALSE))</f>
        <v>2.3243145088069728E-2</v>
      </c>
      <c r="AE73" s="20">
        <f>IF(OR(ISERROR(VLOOKUP($Y$40&amp;$Z73&amp;$AB73,'Comorb data'!$A$3:$AE$170,7,FALSE)),ISBLANK(VLOOKUP($Y$40&amp;$Z73&amp;$AB73,'Comorb data'!$A$3:$AE$170,7,FALSE))),"",VLOOKUP($Y$40&amp;$Z73&amp;$AB73,'Comorb data'!$A$3:$AE$170,7,FALSE))</f>
        <v>2.8327583076084982E-2</v>
      </c>
      <c r="AF73" s="20">
        <f>IF(OR(ISERROR(VLOOKUP($Y$40&amp;$Z73&amp;$AB73,'Comorb data'!$A$3:$AE$170,8,FALSE)),ISBLANK(VLOOKUP($Y$40&amp;$Z73&amp;$AB73,'Comorb data'!$A$3:$AE$170,8,FALSE))),"",VLOOKUP($Y$40&amp;$Z73&amp;$AB73,'Comorb data'!$A$3:$AE$170,8,FALSE))</f>
        <v>2.59669511530779E-2</v>
      </c>
      <c r="AG73" s="20">
        <f>IF(OR(ISERROR(VLOOKUP($Y$40&amp;$Z73&amp;$AB73,'Comorb data'!$A$3:$AE$170,9,FALSE)),ISBLANK(VLOOKUP($Y$40&amp;$Z73&amp;$AB73,'Comorb data'!$A$3:$AE$170,9,FALSE))),"",VLOOKUP($Y$40&amp;$Z73&amp;$AB73,'Comorb data'!$A$3:$AE$170,9,FALSE))</f>
        <v>0.22371527147267115</v>
      </c>
      <c r="AH73" s="20">
        <f>IF(OR(ISERROR(VLOOKUP($Y$40&amp;$Z73&amp;$AB73,'Comorb data'!$A$3:$AE$170,10,FALSE)),ISBLANK(VLOOKUP($Y$40&amp;$Z73&amp;$AB73,'Comorb data'!$A$3:$AE$170,10,FALSE))),"",VLOOKUP($Y$40&amp;$Z73&amp;$AB73,'Comorb data'!$A$3:$AE$170,10,FALSE))</f>
        <v>8.3530052660250598E-3</v>
      </c>
      <c r="AI73" s="20">
        <f>IF(OR(ISERROR(VLOOKUP($Y$40&amp;$Z73&amp;$AB73,'Comorb data'!$A$3:$AE$170,11,FALSE)),ISBLANK(VLOOKUP($Y$40&amp;$Z73&amp;$AB73,'Comorb data'!$A$3:$AE$170,11,FALSE))),"",VLOOKUP($Y$40&amp;$Z73&amp;$AB73,'Comorb data'!$A$3:$AE$170,11,FALSE))</f>
        <v>0.44997276193934993</v>
      </c>
      <c r="AJ73" s="20">
        <f>IF(OR(ISERROR(VLOOKUP($Y$40&amp;$Z73&amp;$AB73,'Comorb data'!$A$3:$AE$170,12,FALSE)),ISBLANK(VLOOKUP($Y$40&amp;$Z73&amp;$AB73,'Comorb data'!$A$3:$AE$170,12,FALSE))),"",VLOOKUP($Y$40&amp;$Z73&amp;$AB73,'Comorb data'!$A$3:$AE$170,12,FALSE))</f>
        <v>6.0831668785182494E-2</v>
      </c>
    </row>
    <row r="74" spans="17:36" x14ac:dyDescent="0.25">
      <c r="Z74" s="62"/>
      <c r="AA74" s="62"/>
      <c r="AB74" s="62"/>
      <c r="AC74" s="64"/>
      <c r="AD74" s="64"/>
      <c r="AE74" s="64"/>
      <c r="AF74" s="64"/>
      <c r="AG74" s="64"/>
      <c r="AH74" s="64"/>
      <c r="AI74" s="64"/>
      <c r="AJ74" s="64"/>
    </row>
    <row r="75" spans="17:36" x14ac:dyDescent="0.25">
      <c r="Z75" s="62"/>
      <c r="AA75" s="62"/>
      <c r="AB75" s="62"/>
      <c r="AC75" s="64"/>
      <c r="AD75" s="64"/>
      <c r="AE75" s="64"/>
      <c r="AF75" s="64"/>
      <c r="AG75" s="64"/>
      <c r="AH75" s="64"/>
      <c r="AI75" s="64"/>
      <c r="AJ75" s="64"/>
    </row>
    <row r="76" spans="17:36" x14ac:dyDescent="0.25">
      <c r="Z76" s="62"/>
      <c r="AA76" s="62"/>
      <c r="AB76" s="62"/>
      <c r="AC76" s="64"/>
      <c r="AD76" s="64"/>
      <c r="AE76" s="64"/>
      <c r="AF76" s="64"/>
      <c r="AG76" s="64"/>
      <c r="AH76" s="64"/>
      <c r="AI76" s="64"/>
      <c r="AJ76" s="64"/>
    </row>
  </sheetData>
  <mergeCells count="58">
    <mergeCell ref="D19:W19"/>
    <mergeCell ref="D17:W17"/>
    <mergeCell ref="F12:G12"/>
    <mergeCell ref="N12:O12"/>
    <mergeCell ref="L12:M12"/>
    <mergeCell ref="H12:I12"/>
    <mergeCell ref="J12:K12"/>
    <mergeCell ref="D18:W18"/>
    <mergeCell ref="F14:G14"/>
    <mergeCell ref="N14:O14"/>
    <mergeCell ref="L14:M14"/>
    <mergeCell ref="H14:I14"/>
    <mergeCell ref="J14:K14"/>
    <mergeCell ref="P14:Q14"/>
    <mergeCell ref="T14:U14"/>
    <mergeCell ref="R14:S14"/>
    <mergeCell ref="D8:D15"/>
    <mergeCell ref="V12:V13"/>
    <mergeCell ref="W12:W13"/>
    <mergeCell ref="V10:V11"/>
    <mergeCell ref="W10:W11"/>
    <mergeCell ref="W8:W9"/>
    <mergeCell ref="F10:G10"/>
    <mergeCell ref="N10:O10"/>
    <mergeCell ref="L10:M10"/>
    <mergeCell ref="H10:I10"/>
    <mergeCell ref="J10:K10"/>
    <mergeCell ref="P10:Q10"/>
    <mergeCell ref="T10:U10"/>
    <mergeCell ref="R10:S10"/>
    <mergeCell ref="V8:V9"/>
    <mergeCell ref="P12:Q12"/>
    <mergeCell ref="L8:M8"/>
    <mergeCell ref="H8:I8"/>
    <mergeCell ref="T12:U12"/>
    <mergeCell ref="V14:V15"/>
    <mergeCell ref="W14:W15"/>
    <mergeCell ref="J8:K8"/>
    <mergeCell ref="P8:Q8"/>
    <mergeCell ref="T8:U8"/>
    <mergeCell ref="R8:S8"/>
    <mergeCell ref="R12:S12"/>
    <mergeCell ref="AK2:AX2"/>
    <mergeCell ref="AK33:AX33"/>
    <mergeCell ref="B7:B8"/>
    <mergeCell ref="B2:B4"/>
    <mergeCell ref="D2:W4"/>
    <mergeCell ref="D6:E6"/>
    <mergeCell ref="F6:G6"/>
    <mergeCell ref="N6:O6"/>
    <mergeCell ref="L6:M6"/>
    <mergeCell ref="H6:I6"/>
    <mergeCell ref="J6:K6"/>
    <mergeCell ref="P6:Q6"/>
    <mergeCell ref="T6:U6"/>
    <mergeCell ref="R6:S6"/>
    <mergeCell ref="F8:G8"/>
    <mergeCell ref="N8:O8"/>
  </mergeCells>
  <conditionalFormatting sqref="D8">
    <cfRule type="cellIs" dxfId="45" priority="251" operator="equal">
      <formula>2015</formula>
    </cfRule>
    <cfRule type="cellIs" dxfId="44" priority="252" operator="equal">
      <formula>2014</formula>
    </cfRule>
    <cfRule type="cellIs" dxfId="43" priority="253" operator="equal">
      <formula>2013</formula>
    </cfRule>
    <cfRule type="cellIs" dxfId="42" priority="255" operator="equal">
      <formula>2012</formula>
    </cfRule>
    <cfRule type="cellIs" dxfId="41" priority="256" operator="equal">
      <formula>2011</formula>
    </cfRule>
    <cfRule type="cellIs" dxfId="40" priority="257" operator="equal">
      <formula>2010</formula>
    </cfRule>
    <cfRule type="cellIs" dxfId="39" priority="258" operator="equal">
      <formula>2009</formula>
    </cfRule>
    <cfRule type="cellIs" dxfId="38" priority="259" operator="equal">
      <formula>"2006-2013"</formula>
    </cfRule>
    <cfRule type="cellIs" dxfId="37" priority="260" operator="equal">
      <formula>2007</formula>
    </cfRule>
    <cfRule type="cellIs" dxfId="36" priority="261" operator="equal">
      <formula>2008</formula>
    </cfRule>
    <cfRule type="cellIs" dxfId="35" priority="262" operator="equal">
      <formula>2006</formula>
    </cfRule>
  </conditionalFormatting>
  <conditionalFormatting sqref="F8">
    <cfRule type="colorScale" priority="263">
      <colorScale>
        <cfvo type="min"/>
        <cfvo type="max"/>
        <color rgb="FFFFEF9C"/>
        <color rgb="FFFF7128"/>
      </colorScale>
    </cfRule>
    <cfRule type="containsBlanks" dxfId="34" priority="264">
      <formula>LEN(TRIM(F8))=0</formula>
    </cfRule>
  </conditionalFormatting>
  <conditionalFormatting sqref="F8:G8">
    <cfRule type="colorScale" priority="250">
      <colorScale>
        <cfvo type="min"/>
        <cfvo type="max"/>
        <color rgb="FFFFEF9C"/>
        <color rgb="FFFF7128"/>
      </colorScale>
    </cfRule>
  </conditionalFormatting>
  <conditionalFormatting sqref="F8:G8">
    <cfRule type="colorScale" priority="249">
      <colorScale>
        <cfvo type="min"/>
        <cfvo type="max"/>
        <color rgb="FFFFEF9C"/>
        <color rgb="FFFF7128"/>
      </colorScale>
    </cfRule>
  </conditionalFormatting>
  <conditionalFormatting sqref="N8">
    <cfRule type="colorScale" priority="247">
      <colorScale>
        <cfvo type="min"/>
        <cfvo type="max"/>
        <color rgb="FFFFEF9C"/>
        <color rgb="FFFF7128"/>
      </colorScale>
    </cfRule>
    <cfRule type="containsBlanks" dxfId="33" priority="248">
      <formula>LEN(TRIM(N8))=0</formula>
    </cfRule>
  </conditionalFormatting>
  <conditionalFormatting sqref="N8:O8">
    <cfRule type="colorScale" priority="246">
      <colorScale>
        <cfvo type="min"/>
        <cfvo type="max"/>
        <color rgb="FFFFEF9C"/>
        <color rgb="FFFF7128"/>
      </colorScale>
    </cfRule>
  </conditionalFormatting>
  <conditionalFormatting sqref="N8:O8">
    <cfRule type="colorScale" priority="245">
      <colorScale>
        <cfvo type="min"/>
        <cfvo type="max"/>
        <color rgb="FFFFEF9C"/>
        <color rgb="FFFF7128"/>
      </colorScale>
    </cfRule>
  </conditionalFormatting>
  <conditionalFormatting sqref="L8">
    <cfRule type="colorScale" priority="243">
      <colorScale>
        <cfvo type="min"/>
        <cfvo type="max"/>
        <color rgb="FFFFEF9C"/>
        <color rgb="FFFF7128"/>
      </colorScale>
    </cfRule>
    <cfRule type="containsBlanks" dxfId="32" priority="244">
      <formula>LEN(TRIM(L8))=0</formula>
    </cfRule>
  </conditionalFormatting>
  <conditionalFormatting sqref="L8:M8">
    <cfRule type="colorScale" priority="242">
      <colorScale>
        <cfvo type="min"/>
        <cfvo type="max"/>
        <color rgb="FFFFEF9C"/>
        <color rgb="FFFF7128"/>
      </colorScale>
    </cfRule>
  </conditionalFormatting>
  <conditionalFormatting sqref="L8:M8">
    <cfRule type="colorScale" priority="241">
      <colorScale>
        <cfvo type="min"/>
        <cfvo type="max"/>
        <color rgb="FFFFEF9C"/>
        <color rgb="FFFF7128"/>
      </colorScale>
    </cfRule>
  </conditionalFormatting>
  <conditionalFormatting sqref="H8">
    <cfRule type="colorScale" priority="239">
      <colorScale>
        <cfvo type="min"/>
        <cfvo type="max"/>
        <color rgb="FFFFEF9C"/>
        <color rgb="FFFF7128"/>
      </colorScale>
    </cfRule>
    <cfRule type="containsBlanks" dxfId="31" priority="240">
      <formula>LEN(TRIM(H8))=0</formula>
    </cfRule>
  </conditionalFormatting>
  <conditionalFormatting sqref="H8:I8">
    <cfRule type="colorScale" priority="238">
      <colorScale>
        <cfvo type="min"/>
        <cfvo type="max"/>
        <color rgb="FFFFEF9C"/>
        <color rgb="FFFF7128"/>
      </colorScale>
    </cfRule>
  </conditionalFormatting>
  <conditionalFormatting sqref="H8:I8">
    <cfRule type="colorScale" priority="237">
      <colorScale>
        <cfvo type="min"/>
        <cfvo type="max"/>
        <color rgb="FFFFEF9C"/>
        <color rgb="FFFF7128"/>
      </colorScale>
    </cfRule>
  </conditionalFormatting>
  <conditionalFormatting sqref="J8">
    <cfRule type="colorScale" priority="235">
      <colorScale>
        <cfvo type="min"/>
        <cfvo type="max"/>
        <color rgb="FFFFEF9C"/>
        <color rgb="FFFF7128"/>
      </colorScale>
    </cfRule>
    <cfRule type="containsBlanks" dxfId="30" priority="236">
      <formula>LEN(TRIM(J8))=0</formula>
    </cfRule>
  </conditionalFormatting>
  <conditionalFormatting sqref="J8:K8">
    <cfRule type="colorScale" priority="234">
      <colorScale>
        <cfvo type="min"/>
        <cfvo type="max"/>
        <color rgb="FFFFEF9C"/>
        <color rgb="FFFF7128"/>
      </colorScale>
    </cfRule>
  </conditionalFormatting>
  <conditionalFormatting sqref="J8:K8">
    <cfRule type="colorScale" priority="233">
      <colorScale>
        <cfvo type="min"/>
        <cfvo type="max"/>
        <color rgb="FFFFEF9C"/>
        <color rgb="FFFF7128"/>
      </colorScale>
    </cfRule>
  </conditionalFormatting>
  <conditionalFormatting sqref="P8">
    <cfRule type="colorScale" priority="231">
      <colorScale>
        <cfvo type="min"/>
        <cfvo type="max"/>
        <color rgb="FFFFEF9C"/>
        <color rgb="FFFF7128"/>
      </colorScale>
    </cfRule>
    <cfRule type="containsBlanks" dxfId="29" priority="232">
      <formula>LEN(TRIM(P8))=0</formula>
    </cfRule>
  </conditionalFormatting>
  <conditionalFormatting sqref="P8:Q8">
    <cfRule type="colorScale" priority="230">
      <colorScale>
        <cfvo type="min"/>
        <cfvo type="max"/>
        <color rgb="FFFFEF9C"/>
        <color rgb="FFFF7128"/>
      </colorScale>
    </cfRule>
  </conditionalFormatting>
  <conditionalFormatting sqref="P8:Q8">
    <cfRule type="colorScale" priority="229">
      <colorScale>
        <cfvo type="min"/>
        <cfvo type="max"/>
        <color rgb="FFFFEF9C"/>
        <color rgb="FFFF7128"/>
      </colorScale>
    </cfRule>
  </conditionalFormatting>
  <conditionalFormatting sqref="T8">
    <cfRule type="colorScale" priority="227">
      <colorScale>
        <cfvo type="min"/>
        <cfvo type="max"/>
        <color rgb="FFFFEF9C"/>
        <color rgb="FFFF7128"/>
      </colorScale>
    </cfRule>
    <cfRule type="containsBlanks" dxfId="28" priority="228">
      <formula>LEN(TRIM(T8))=0</formula>
    </cfRule>
  </conditionalFormatting>
  <conditionalFormatting sqref="T8:U8">
    <cfRule type="colorScale" priority="226">
      <colorScale>
        <cfvo type="min"/>
        <cfvo type="max"/>
        <color rgb="FFFFEF9C"/>
        <color rgb="FFFF7128"/>
      </colorScale>
    </cfRule>
  </conditionalFormatting>
  <conditionalFormatting sqref="T8:U8">
    <cfRule type="colorScale" priority="225">
      <colorScale>
        <cfvo type="min"/>
        <cfvo type="max"/>
        <color rgb="FFFFEF9C"/>
        <color rgb="FFFF7128"/>
      </colorScale>
    </cfRule>
  </conditionalFormatting>
  <conditionalFormatting sqref="R8">
    <cfRule type="colorScale" priority="223">
      <colorScale>
        <cfvo type="min"/>
        <cfvo type="max"/>
        <color rgb="FFFFEF9C"/>
        <color rgb="FFFF7128"/>
      </colorScale>
    </cfRule>
    <cfRule type="containsBlanks" dxfId="27" priority="224">
      <formula>LEN(TRIM(R8))=0</formula>
    </cfRule>
  </conditionalFormatting>
  <conditionalFormatting sqref="R8:S8">
    <cfRule type="colorScale" priority="222">
      <colorScale>
        <cfvo type="min"/>
        <cfvo type="max"/>
        <color rgb="FFFFEF9C"/>
        <color rgb="FFFF7128"/>
      </colorScale>
    </cfRule>
  </conditionalFormatting>
  <conditionalFormatting sqref="R8:S8">
    <cfRule type="colorScale" priority="221">
      <colorScale>
        <cfvo type="min"/>
        <cfvo type="max"/>
        <color rgb="FFFFEF9C"/>
        <color rgb="FFFF7128"/>
      </colorScale>
    </cfRule>
  </conditionalFormatting>
  <conditionalFormatting sqref="D2:W4">
    <cfRule type="cellIs" dxfId="26" priority="110" operator="equal">
      <formula>"Prostate is not covered by a screening programme, please select a different site or route"</formula>
    </cfRule>
    <cfRule type="cellIs" dxfId="25" priority="111" operator="equal">
      <formula>"SCLC is not covered by a screening programme, please select a different site or route"</formula>
    </cfRule>
    <cfRule type="cellIs" dxfId="24" priority="112" operator="equal">
      <formula>"NSCLC is not covered by a screening programme, please select a different site or route"</formula>
    </cfRule>
  </conditionalFormatting>
  <conditionalFormatting sqref="F8:U8">
    <cfRule type="colorScale" priority="109">
      <colorScale>
        <cfvo type="min"/>
        <cfvo type="max"/>
        <color rgb="FFFFEF9C"/>
        <color rgb="FFFF7128"/>
      </colorScale>
    </cfRule>
    <cfRule type="colorScale" priority="1094">
      <colorScale>
        <cfvo type="min"/>
        <cfvo type="max"/>
        <color rgb="FFFFEF9C"/>
        <color rgb="FFFF7128"/>
      </colorScale>
    </cfRule>
    <cfRule type="colorScale" priority="1095">
      <colorScale>
        <cfvo type="min"/>
        <cfvo type="max"/>
        <color rgb="FFFF7128"/>
        <color rgb="FFFFEF9C"/>
      </colorScale>
    </cfRule>
    <cfRule type="colorScale" priority="1096">
      <colorScale>
        <cfvo type="min"/>
        <cfvo type="max"/>
        <color rgb="FFFFEF9C"/>
        <color rgb="FFFF7128"/>
      </colorScale>
    </cfRule>
  </conditionalFormatting>
  <conditionalFormatting sqref="F10">
    <cfRule type="colorScale" priority="104">
      <colorScale>
        <cfvo type="min"/>
        <cfvo type="max"/>
        <color rgb="FFFFEF9C"/>
        <color rgb="FFFF7128"/>
      </colorScale>
    </cfRule>
    <cfRule type="containsBlanks" dxfId="23" priority="105">
      <formula>LEN(TRIM(F10))=0</formula>
    </cfRule>
  </conditionalFormatting>
  <conditionalFormatting sqref="F10:G10">
    <cfRule type="colorScale" priority="103">
      <colorScale>
        <cfvo type="min"/>
        <cfvo type="max"/>
        <color rgb="FFFFEF9C"/>
        <color rgb="FFFF7128"/>
      </colorScale>
    </cfRule>
  </conditionalFormatting>
  <conditionalFormatting sqref="F10:G10">
    <cfRule type="colorScale" priority="102">
      <colorScale>
        <cfvo type="min"/>
        <cfvo type="max"/>
        <color rgb="FFFFEF9C"/>
        <color rgb="FFFF7128"/>
      </colorScale>
    </cfRule>
  </conditionalFormatting>
  <conditionalFormatting sqref="N10">
    <cfRule type="colorScale" priority="100">
      <colorScale>
        <cfvo type="min"/>
        <cfvo type="max"/>
        <color rgb="FFFFEF9C"/>
        <color rgb="FFFF7128"/>
      </colorScale>
    </cfRule>
    <cfRule type="containsBlanks" dxfId="22" priority="101">
      <formula>LEN(TRIM(N10))=0</formula>
    </cfRule>
  </conditionalFormatting>
  <conditionalFormatting sqref="N10:O10">
    <cfRule type="colorScale" priority="99">
      <colorScale>
        <cfvo type="min"/>
        <cfvo type="max"/>
        <color rgb="FFFFEF9C"/>
        <color rgb="FFFF7128"/>
      </colorScale>
    </cfRule>
  </conditionalFormatting>
  <conditionalFormatting sqref="N10:O10">
    <cfRule type="colorScale" priority="98">
      <colorScale>
        <cfvo type="min"/>
        <cfvo type="max"/>
        <color rgb="FFFFEF9C"/>
        <color rgb="FFFF7128"/>
      </colorScale>
    </cfRule>
  </conditionalFormatting>
  <conditionalFormatting sqref="L10">
    <cfRule type="colorScale" priority="96">
      <colorScale>
        <cfvo type="min"/>
        <cfvo type="max"/>
        <color rgb="FFFFEF9C"/>
        <color rgb="FFFF7128"/>
      </colorScale>
    </cfRule>
    <cfRule type="containsBlanks" dxfId="21" priority="97">
      <formula>LEN(TRIM(L10))=0</formula>
    </cfRule>
  </conditionalFormatting>
  <conditionalFormatting sqref="L10:M10">
    <cfRule type="colorScale" priority="95">
      <colorScale>
        <cfvo type="min"/>
        <cfvo type="max"/>
        <color rgb="FFFFEF9C"/>
        <color rgb="FFFF7128"/>
      </colorScale>
    </cfRule>
  </conditionalFormatting>
  <conditionalFormatting sqref="L10:M10">
    <cfRule type="colorScale" priority="94">
      <colorScale>
        <cfvo type="min"/>
        <cfvo type="max"/>
        <color rgb="FFFFEF9C"/>
        <color rgb="FFFF7128"/>
      </colorScale>
    </cfRule>
  </conditionalFormatting>
  <conditionalFormatting sqref="H10">
    <cfRule type="colorScale" priority="92">
      <colorScale>
        <cfvo type="min"/>
        <cfvo type="max"/>
        <color rgb="FFFFEF9C"/>
        <color rgb="FFFF7128"/>
      </colorScale>
    </cfRule>
    <cfRule type="containsBlanks" dxfId="20" priority="93">
      <formula>LEN(TRIM(H10))=0</formula>
    </cfRule>
  </conditionalFormatting>
  <conditionalFormatting sqref="H10:I10">
    <cfRule type="colorScale" priority="91">
      <colorScale>
        <cfvo type="min"/>
        <cfvo type="max"/>
        <color rgb="FFFFEF9C"/>
        <color rgb="FFFF7128"/>
      </colorScale>
    </cfRule>
  </conditionalFormatting>
  <conditionalFormatting sqref="H10:I10">
    <cfRule type="colorScale" priority="90">
      <colorScale>
        <cfvo type="min"/>
        <cfvo type="max"/>
        <color rgb="FFFFEF9C"/>
        <color rgb="FFFF7128"/>
      </colorScale>
    </cfRule>
  </conditionalFormatting>
  <conditionalFormatting sqref="J10">
    <cfRule type="colorScale" priority="88">
      <colorScale>
        <cfvo type="min"/>
        <cfvo type="max"/>
        <color rgb="FFFFEF9C"/>
        <color rgb="FFFF7128"/>
      </colorScale>
    </cfRule>
    <cfRule type="containsBlanks" dxfId="19" priority="89">
      <formula>LEN(TRIM(J10))=0</formula>
    </cfRule>
  </conditionalFormatting>
  <conditionalFormatting sqref="J10:K10">
    <cfRule type="colorScale" priority="87">
      <colorScale>
        <cfvo type="min"/>
        <cfvo type="max"/>
        <color rgb="FFFFEF9C"/>
        <color rgb="FFFF7128"/>
      </colorScale>
    </cfRule>
  </conditionalFormatting>
  <conditionalFormatting sqref="J10:K10">
    <cfRule type="colorScale" priority="86">
      <colorScale>
        <cfvo type="min"/>
        <cfvo type="max"/>
        <color rgb="FFFFEF9C"/>
        <color rgb="FFFF7128"/>
      </colorScale>
    </cfRule>
  </conditionalFormatting>
  <conditionalFormatting sqref="P10">
    <cfRule type="colorScale" priority="84">
      <colorScale>
        <cfvo type="min"/>
        <cfvo type="max"/>
        <color rgb="FFFFEF9C"/>
        <color rgb="FFFF7128"/>
      </colorScale>
    </cfRule>
    <cfRule type="containsBlanks" dxfId="18" priority="85">
      <formula>LEN(TRIM(P10))=0</formula>
    </cfRule>
  </conditionalFormatting>
  <conditionalFormatting sqref="P10:Q10">
    <cfRule type="colorScale" priority="83">
      <colorScale>
        <cfvo type="min"/>
        <cfvo type="max"/>
        <color rgb="FFFFEF9C"/>
        <color rgb="FFFF7128"/>
      </colorScale>
    </cfRule>
  </conditionalFormatting>
  <conditionalFormatting sqref="P10:Q10">
    <cfRule type="colorScale" priority="82">
      <colorScale>
        <cfvo type="min"/>
        <cfvo type="max"/>
        <color rgb="FFFFEF9C"/>
        <color rgb="FFFF7128"/>
      </colorScale>
    </cfRule>
  </conditionalFormatting>
  <conditionalFormatting sqref="T10">
    <cfRule type="colorScale" priority="80">
      <colorScale>
        <cfvo type="min"/>
        <cfvo type="max"/>
        <color rgb="FFFFEF9C"/>
        <color rgb="FFFF7128"/>
      </colorScale>
    </cfRule>
    <cfRule type="containsBlanks" dxfId="17" priority="81">
      <formula>LEN(TRIM(T10))=0</formula>
    </cfRule>
  </conditionalFormatting>
  <conditionalFormatting sqref="T10:U10">
    <cfRule type="colorScale" priority="79">
      <colorScale>
        <cfvo type="min"/>
        <cfvo type="max"/>
        <color rgb="FFFFEF9C"/>
        <color rgb="FFFF7128"/>
      </colorScale>
    </cfRule>
  </conditionalFormatting>
  <conditionalFormatting sqref="T10:U10">
    <cfRule type="colorScale" priority="78">
      <colorScale>
        <cfvo type="min"/>
        <cfvo type="max"/>
        <color rgb="FFFFEF9C"/>
        <color rgb="FFFF7128"/>
      </colorScale>
    </cfRule>
  </conditionalFormatting>
  <conditionalFormatting sqref="R10">
    <cfRule type="colorScale" priority="76">
      <colorScale>
        <cfvo type="min"/>
        <cfvo type="max"/>
        <color rgb="FFFFEF9C"/>
        <color rgb="FFFF7128"/>
      </colorScale>
    </cfRule>
    <cfRule type="containsBlanks" dxfId="16" priority="77">
      <formula>LEN(TRIM(R10))=0</formula>
    </cfRule>
  </conditionalFormatting>
  <conditionalFormatting sqref="R10:S10">
    <cfRule type="colorScale" priority="75">
      <colorScale>
        <cfvo type="min"/>
        <cfvo type="max"/>
        <color rgb="FFFFEF9C"/>
        <color rgb="FFFF7128"/>
      </colorScale>
    </cfRule>
  </conditionalFormatting>
  <conditionalFormatting sqref="R10:S10">
    <cfRule type="colorScale" priority="74">
      <colorScale>
        <cfvo type="min"/>
        <cfvo type="max"/>
        <color rgb="FFFFEF9C"/>
        <color rgb="FFFF7128"/>
      </colorScale>
    </cfRule>
  </conditionalFormatting>
  <conditionalFormatting sqref="F10:U10">
    <cfRule type="colorScale" priority="73">
      <colorScale>
        <cfvo type="min"/>
        <cfvo type="max"/>
        <color rgb="FFFFEF9C"/>
        <color rgb="FFFF7128"/>
      </colorScale>
    </cfRule>
    <cfRule type="colorScale" priority="106">
      <colorScale>
        <cfvo type="min"/>
        <cfvo type="max"/>
        <color rgb="FFFFEF9C"/>
        <color rgb="FFFF7128"/>
      </colorScale>
    </cfRule>
    <cfRule type="colorScale" priority="107">
      <colorScale>
        <cfvo type="min"/>
        <cfvo type="max"/>
        <color rgb="FFFF7128"/>
        <color rgb="FFFFEF9C"/>
      </colorScale>
    </cfRule>
    <cfRule type="colorScale" priority="108">
      <colorScale>
        <cfvo type="min"/>
        <cfvo type="max"/>
        <color rgb="FFFFEF9C"/>
        <color rgb="FFFF7128"/>
      </colorScale>
    </cfRule>
  </conditionalFormatting>
  <conditionalFormatting sqref="F12">
    <cfRule type="colorScale" priority="68">
      <colorScale>
        <cfvo type="min"/>
        <cfvo type="max"/>
        <color rgb="FFFFEF9C"/>
        <color rgb="FFFF7128"/>
      </colorScale>
    </cfRule>
    <cfRule type="containsBlanks" dxfId="15" priority="69">
      <formula>LEN(TRIM(F12))=0</formula>
    </cfRule>
  </conditionalFormatting>
  <conditionalFormatting sqref="F12:G12">
    <cfRule type="colorScale" priority="67">
      <colorScale>
        <cfvo type="min"/>
        <cfvo type="max"/>
        <color rgb="FFFFEF9C"/>
        <color rgb="FFFF7128"/>
      </colorScale>
    </cfRule>
  </conditionalFormatting>
  <conditionalFormatting sqref="F12:G12">
    <cfRule type="colorScale" priority="66">
      <colorScale>
        <cfvo type="min"/>
        <cfvo type="max"/>
        <color rgb="FFFFEF9C"/>
        <color rgb="FFFF7128"/>
      </colorScale>
    </cfRule>
  </conditionalFormatting>
  <conditionalFormatting sqref="N12">
    <cfRule type="colorScale" priority="64">
      <colorScale>
        <cfvo type="min"/>
        <cfvo type="max"/>
        <color rgb="FFFFEF9C"/>
        <color rgb="FFFF7128"/>
      </colorScale>
    </cfRule>
    <cfRule type="containsBlanks" dxfId="14" priority="65">
      <formula>LEN(TRIM(N12))=0</formula>
    </cfRule>
  </conditionalFormatting>
  <conditionalFormatting sqref="N12:O12">
    <cfRule type="colorScale" priority="63">
      <colorScale>
        <cfvo type="min"/>
        <cfvo type="max"/>
        <color rgb="FFFFEF9C"/>
        <color rgb="FFFF7128"/>
      </colorScale>
    </cfRule>
  </conditionalFormatting>
  <conditionalFormatting sqref="N12:O12">
    <cfRule type="colorScale" priority="62">
      <colorScale>
        <cfvo type="min"/>
        <cfvo type="max"/>
        <color rgb="FFFFEF9C"/>
        <color rgb="FFFF7128"/>
      </colorScale>
    </cfRule>
  </conditionalFormatting>
  <conditionalFormatting sqref="L12">
    <cfRule type="colorScale" priority="60">
      <colorScale>
        <cfvo type="min"/>
        <cfvo type="max"/>
        <color rgb="FFFFEF9C"/>
        <color rgb="FFFF7128"/>
      </colorScale>
    </cfRule>
    <cfRule type="containsBlanks" dxfId="13" priority="61">
      <formula>LEN(TRIM(L12))=0</formula>
    </cfRule>
  </conditionalFormatting>
  <conditionalFormatting sqref="L12:M12">
    <cfRule type="colorScale" priority="59">
      <colorScale>
        <cfvo type="min"/>
        <cfvo type="max"/>
        <color rgb="FFFFEF9C"/>
        <color rgb="FFFF7128"/>
      </colorScale>
    </cfRule>
  </conditionalFormatting>
  <conditionalFormatting sqref="L12:M12">
    <cfRule type="colorScale" priority="58">
      <colorScale>
        <cfvo type="min"/>
        <cfvo type="max"/>
        <color rgb="FFFFEF9C"/>
        <color rgb="FFFF7128"/>
      </colorScale>
    </cfRule>
  </conditionalFormatting>
  <conditionalFormatting sqref="H12">
    <cfRule type="colorScale" priority="56">
      <colorScale>
        <cfvo type="min"/>
        <cfvo type="max"/>
        <color rgb="FFFFEF9C"/>
        <color rgb="FFFF7128"/>
      </colorScale>
    </cfRule>
    <cfRule type="containsBlanks" dxfId="12" priority="57">
      <formula>LEN(TRIM(H12))=0</formula>
    </cfRule>
  </conditionalFormatting>
  <conditionalFormatting sqref="H12:I12">
    <cfRule type="colorScale" priority="55">
      <colorScale>
        <cfvo type="min"/>
        <cfvo type="max"/>
        <color rgb="FFFFEF9C"/>
        <color rgb="FFFF7128"/>
      </colorScale>
    </cfRule>
  </conditionalFormatting>
  <conditionalFormatting sqref="H12:I12">
    <cfRule type="colorScale" priority="54">
      <colorScale>
        <cfvo type="min"/>
        <cfvo type="max"/>
        <color rgb="FFFFEF9C"/>
        <color rgb="FFFF7128"/>
      </colorScale>
    </cfRule>
  </conditionalFormatting>
  <conditionalFormatting sqref="J12">
    <cfRule type="colorScale" priority="52">
      <colorScale>
        <cfvo type="min"/>
        <cfvo type="max"/>
        <color rgb="FFFFEF9C"/>
        <color rgb="FFFF7128"/>
      </colorScale>
    </cfRule>
    <cfRule type="containsBlanks" dxfId="11" priority="53">
      <formula>LEN(TRIM(J12))=0</formula>
    </cfRule>
  </conditionalFormatting>
  <conditionalFormatting sqref="J12:K12">
    <cfRule type="colorScale" priority="51">
      <colorScale>
        <cfvo type="min"/>
        <cfvo type="max"/>
        <color rgb="FFFFEF9C"/>
        <color rgb="FFFF7128"/>
      </colorScale>
    </cfRule>
  </conditionalFormatting>
  <conditionalFormatting sqref="J12:K12">
    <cfRule type="colorScale" priority="50">
      <colorScale>
        <cfvo type="min"/>
        <cfvo type="max"/>
        <color rgb="FFFFEF9C"/>
        <color rgb="FFFF7128"/>
      </colorScale>
    </cfRule>
  </conditionalFormatting>
  <conditionalFormatting sqref="P12">
    <cfRule type="colorScale" priority="48">
      <colorScale>
        <cfvo type="min"/>
        <cfvo type="max"/>
        <color rgb="FFFFEF9C"/>
        <color rgb="FFFF7128"/>
      </colorScale>
    </cfRule>
    <cfRule type="containsBlanks" dxfId="10" priority="49">
      <formula>LEN(TRIM(P12))=0</formula>
    </cfRule>
  </conditionalFormatting>
  <conditionalFormatting sqref="P12:Q12">
    <cfRule type="colorScale" priority="47">
      <colorScale>
        <cfvo type="min"/>
        <cfvo type="max"/>
        <color rgb="FFFFEF9C"/>
        <color rgb="FFFF7128"/>
      </colorScale>
    </cfRule>
  </conditionalFormatting>
  <conditionalFormatting sqref="P12:Q12">
    <cfRule type="colorScale" priority="46">
      <colorScale>
        <cfvo type="min"/>
        <cfvo type="max"/>
        <color rgb="FFFFEF9C"/>
        <color rgb="FFFF7128"/>
      </colorScale>
    </cfRule>
  </conditionalFormatting>
  <conditionalFormatting sqref="T12">
    <cfRule type="colorScale" priority="44">
      <colorScale>
        <cfvo type="min"/>
        <cfvo type="max"/>
        <color rgb="FFFFEF9C"/>
        <color rgb="FFFF7128"/>
      </colorScale>
    </cfRule>
    <cfRule type="containsBlanks" dxfId="9" priority="45">
      <formula>LEN(TRIM(T12))=0</formula>
    </cfRule>
  </conditionalFormatting>
  <conditionalFormatting sqref="T12:U12">
    <cfRule type="colorScale" priority="43">
      <colorScale>
        <cfvo type="min"/>
        <cfvo type="max"/>
        <color rgb="FFFFEF9C"/>
        <color rgb="FFFF7128"/>
      </colorScale>
    </cfRule>
  </conditionalFormatting>
  <conditionalFormatting sqref="T12:U12">
    <cfRule type="colorScale" priority="42">
      <colorScale>
        <cfvo type="min"/>
        <cfvo type="max"/>
        <color rgb="FFFFEF9C"/>
        <color rgb="FFFF7128"/>
      </colorScale>
    </cfRule>
  </conditionalFormatting>
  <conditionalFormatting sqref="R12">
    <cfRule type="colorScale" priority="40">
      <colorScale>
        <cfvo type="min"/>
        <cfvo type="max"/>
        <color rgb="FFFFEF9C"/>
        <color rgb="FFFF7128"/>
      </colorScale>
    </cfRule>
    <cfRule type="containsBlanks" dxfId="8" priority="41">
      <formula>LEN(TRIM(R12))=0</formula>
    </cfRule>
  </conditionalFormatting>
  <conditionalFormatting sqref="R12:S12">
    <cfRule type="colorScale" priority="39">
      <colorScale>
        <cfvo type="min"/>
        <cfvo type="max"/>
        <color rgb="FFFFEF9C"/>
        <color rgb="FFFF7128"/>
      </colorScale>
    </cfRule>
  </conditionalFormatting>
  <conditionalFormatting sqref="R12:S12">
    <cfRule type="colorScale" priority="38">
      <colorScale>
        <cfvo type="min"/>
        <cfvo type="max"/>
        <color rgb="FFFFEF9C"/>
        <color rgb="FFFF7128"/>
      </colorScale>
    </cfRule>
  </conditionalFormatting>
  <conditionalFormatting sqref="F12:U12">
    <cfRule type="colorScale" priority="37">
      <colorScale>
        <cfvo type="min"/>
        <cfvo type="max"/>
        <color rgb="FFFFEF9C"/>
        <color rgb="FFFF7128"/>
      </colorScale>
    </cfRule>
    <cfRule type="colorScale" priority="70">
      <colorScale>
        <cfvo type="min"/>
        <cfvo type="max"/>
        <color rgb="FFFFEF9C"/>
        <color rgb="FFFF7128"/>
      </colorScale>
    </cfRule>
    <cfRule type="colorScale" priority="71">
      <colorScale>
        <cfvo type="min"/>
        <cfvo type="max"/>
        <color rgb="FFFF7128"/>
        <color rgb="FFFFEF9C"/>
      </colorScale>
    </cfRule>
    <cfRule type="colorScale" priority="72">
      <colorScale>
        <cfvo type="min"/>
        <cfvo type="max"/>
        <color rgb="FFFFEF9C"/>
        <color rgb="FFFF7128"/>
      </colorScale>
    </cfRule>
  </conditionalFormatting>
  <conditionalFormatting sqref="F14">
    <cfRule type="colorScale" priority="32">
      <colorScale>
        <cfvo type="min"/>
        <cfvo type="max"/>
        <color rgb="FFFFEF9C"/>
        <color rgb="FFFF7128"/>
      </colorScale>
    </cfRule>
    <cfRule type="containsBlanks" dxfId="7" priority="33">
      <formula>LEN(TRIM(F14))=0</formula>
    </cfRule>
  </conditionalFormatting>
  <conditionalFormatting sqref="F14:G14">
    <cfRule type="colorScale" priority="31">
      <colorScale>
        <cfvo type="min"/>
        <cfvo type="max"/>
        <color rgb="FFFFEF9C"/>
        <color rgb="FFFF7128"/>
      </colorScale>
    </cfRule>
  </conditionalFormatting>
  <conditionalFormatting sqref="F14:G14">
    <cfRule type="colorScale" priority="30">
      <colorScale>
        <cfvo type="min"/>
        <cfvo type="max"/>
        <color rgb="FFFFEF9C"/>
        <color rgb="FFFF7128"/>
      </colorScale>
    </cfRule>
  </conditionalFormatting>
  <conditionalFormatting sqref="N14">
    <cfRule type="colorScale" priority="28">
      <colorScale>
        <cfvo type="min"/>
        <cfvo type="max"/>
        <color rgb="FFFFEF9C"/>
        <color rgb="FFFF7128"/>
      </colorScale>
    </cfRule>
    <cfRule type="containsBlanks" dxfId="6" priority="29">
      <formula>LEN(TRIM(N14))=0</formula>
    </cfRule>
  </conditionalFormatting>
  <conditionalFormatting sqref="N14:O14">
    <cfRule type="colorScale" priority="27">
      <colorScale>
        <cfvo type="min"/>
        <cfvo type="max"/>
        <color rgb="FFFFEF9C"/>
        <color rgb="FFFF7128"/>
      </colorScale>
    </cfRule>
  </conditionalFormatting>
  <conditionalFormatting sqref="N14:O14">
    <cfRule type="colorScale" priority="26">
      <colorScale>
        <cfvo type="min"/>
        <cfvo type="max"/>
        <color rgb="FFFFEF9C"/>
        <color rgb="FFFF7128"/>
      </colorScale>
    </cfRule>
  </conditionalFormatting>
  <conditionalFormatting sqref="L14">
    <cfRule type="colorScale" priority="24">
      <colorScale>
        <cfvo type="min"/>
        <cfvo type="max"/>
        <color rgb="FFFFEF9C"/>
        <color rgb="FFFF7128"/>
      </colorScale>
    </cfRule>
    <cfRule type="containsBlanks" dxfId="5" priority="25">
      <formula>LEN(TRIM(L14))=0</formula>
    </cfRule>
  </conditionalFormatting>
  <conditionalFormatting sqref="L14:M14">
    <cfRule type="colorScale" priority="23">
      <colorScale>
        <cfvo type="min"/>
        <cfvo type="max"/>
        <color rgb="FFFFEF9C"/>
        <color rgb="FFFF7128"/>
      </colorScale>
    </cfRule>
  </conditionalFormatting>
  <conditionalFormatting sqref="L14:M14">
    <cfRule type="colorScale" priority="22">
      <colorScale>
        <cfvo type="min"/>
        <cfvo type="max"/>
        <color rgb="FFFFEF9C"/>
        <color rgb="FFFF7128"/>
      </colorScale>
    </cfRule>
  </conditionalFormatting>
  <conditionalFormatting sqref="H14">
    <cfRule type="colorScale" priority="20">
      <colorScale>
        <cfvo type="min"/>
        <cfvo type="max"/>
        <color rgb="FFFFEF9C"/>
        <color rgb="FFFF7128"/>
      </colorScale>
    </cfRule>
    <cfRule type="containsBlanks" dxfId="4" priority="21">
      <formula>LEN(TRIM(H14))=0</formula>
    </cfRule>
  </conditionalFormatting>
  <conditionalFormatting sqref="H14:I14">
    <cfRule type="colorScale" priority="19">
      <colorScale>
        <cfvo type="min"/>
        <cfvo type="max"/>
        <color rgb="FFFFEF9C"/>
        <color rgb="FFFF7128"/>
      </colorScale>
    </cfRule>
  </conditionalFormatting>
  <conditionalFormatting sqref="H14:I14">
    <cfRule type="colorScale" priority="18">
      <colorScale>
        <cfvo type="min"/>
        <cfvo type="max"/>
        <color rgb="FFFFEF9C"/>
        <color rgb="FFFF7128"/>
      </colorScale>
    </cfRule>
  </conditionalFormatting>
  <conditionalFormatting sqref="J14">
    <cfRule type="colorScale" priority="16">
      <colorScale>
        <cfvo type="min"/>
        <cfvo type="max"/>
        <color rgb="FFFFEF9C"/>
        <color rgb="FFFF7128"/>
      </colorScale>
    </cfRule>
    <cfRule type="containsBlanks" dxfId="3" priority="17">
      <formula>LEN(TRIM(J14))=0</formula>
    </cfRule>
  </conditionalFormatting>
  <conditionalFormatting sqref="J14:K14">
    <cfRule type="colorScale" priority="15">
      <colorScale>
        <cfvo type="min"/>
        <cfvo type="max"/>
        <color rgb="FFFFEF9C"/>
        <color rgb="FFFF7128"/>
      </colorScale>
    </cfRule>
  </conditionalFormatting>
  <conditionalFormatting sqref="J14:K14">
    <cfRule type="colorScale" priority="14">
      <colorScale>
        <cfvo type="min"/>
        <cfvo type="max"/>
        <color rgb="FFFFEF9C"/>
        <color rgb="FFFF7128"/>
      </colorScale>
    </cfRule>
  </conditionalFormatting>
  <conditionalFormatting sqref="P14">
    <cfRule type="colorScale" priority="12">
      <colorScale>
        <cfvo type="min"/>
        <cfvo type="max"/>
        <color rgb="FFFFEF9C"/>
        <color rgb="FFFF7128"/>
      </colorScale>
    </cfRule>
    <cfRule type="containsBlanks" dxfId="2" priority="13">
      <formula>LEN(TRIM(P14))=0</formula>
    </cfRule>
  </conditionalFormatting>
  <conditionalFormatting sqref="P14:Q14">
    <cfRule type="colorScale" priority="11">
      <colorScale>
        <cfvo type="min"/>
        <cfvo type="max"/>
        <color rgb="FFFFEF9C"/>
        <color rgb="FFFF7128"/>
      </colorScale>
    </cfRule>
  </conditionalFormatting>
  <conditionalFormatting sqref="P14:Q14">
    <cfRule type="colorScale" priority="10">
      <colorScale>
        <cfvo type="min"/>
        <cfvo type="max"/>
        <color rgb="FFFFEF9C"/>
        <color rgb="FFFF7128"/>
      </colorScale>
    </cfRule>
  </conditionalFormatting>
  <conditionalFormatting sqref="T14">
    <cfRule type="colorScale" priority="8">
      <colorScale>
        <cfvo type="min"/>
        <cfvo type="max"/>
        <color rgb="FFFFEF9C"/>
        <color rgb="FFFF7128"/>
      </colorScale>
    </cfRule>
    <cfRule type="containsBlanks" dxfId="1" priority="9">
      <formula>LEN(TRIM(T14))=0</formula>
    </cfRule>
  </conditionalFormatting>
  <conditionalFormatting sqref="T14:U14">
    <cfRule type="colorScale" priority="7">
      <colorScale>
        <cfvo type="min"/>
        <cfvo type="max"/>
        <color rgb="FFFFEF9C"/>
        <color rgb="FFFF7128"/>
      </colorScale>
    </cfRule>
  </conditionalFormatting>
  <conditionalFormatting sqref="T14:U14">
    <cfRule type="colorScale" priority="6">
      <colorScale>
        <cfvo type="min"/>
        <cfvo type="max"/>
        <color rgb="FFFFEF9C"/>
        <color rgb="FFFF7128"/>
      </colorScale>
    </cfRule>
  </conditionalFormatting>
  <conditionalFormatting sqref="R14">
    <cfRule type="colorScale" priority="4">
      <colorScale>
        <cfvo type="min"/>
        <cfvo type="max"/>
        <color rgb="FFFFEF9C"/>
        <color rgb="FFFF7128"/>
      </colorScale>
    </cfRule>
    <cfRule type="containsBlanks" dxfId="0" priority="5">
      <formula>LEN(TRIM(R14))=0</formula>
    </cfRule>
  </conditionalFormatting>
  <conditionalFormatting sqref="R14:S14">
    <cfRule type="colorScale" priority="3">
      <colorScale>
        <cfvo type="min"/>
        <cfvo type="max"/>
        <color rgb="FFFFEF9C"/>
        <color rgb="FFFF7128"/>
      </colorScale>
    </cfRule>
  </conditionalFormatting>
  <conditionalFormatting sqref="R14:S14">
    <cfRule type="colorScale" priority="2">
      <colorScale>
        <cfvo type="min"/>
        <cfvo type="max"/>
        <color rgb="FFFFEF9C"/>
        <color rgb="FFFF7128"/>
      </colorScale>
    </cfRule>
  </conditionalFormatting>
  <conditionalFormatting sqref="F14:U14">
    <cfRule type="colorScale" priority="1">
      <colorScale>
        <cfvo type="min"/>
        <cfvo type="max"/>
        <color rgb="FFFFEF9C"/>
        <color rgb="FFFF7128"/>
      </colorScale>
    </cfRule>
    <cfRule type="colorScale" priority="34">
      <colorScale>
        <cfvo type="min"/>
        <cfvo type="max"/>
        <color rgb="FFFFEF9C"/>
        <color rgb="FFFF7128"/>
      </colorScale>
    </cfRule>
    <cfRule type="colorScale" priority="35">
      <colorScale>
        <cfvo type="min"/>
        <cfvo type="max"/>
        <color rgb="FFFF7128"/>
        <color rgb="FFFFEF9C"/>
      </colorScale>
    </cfRule>
    <cfRule type="colorScale" priority="36">
      <colorScale>
        <cfvo type="min"/>
        <cfvo type="max"/>
        <color rgb="FFFFEF9C"/>
        <color rgb="FFFF7128"/>
      </colorScale>
    </cfRule>
  </conditionalFormatting>
  <hyperlinks>
    <hyperlink ref="B16" location="Contents!A1" display="Contents"/>
  </hyperlinks>
  <pageMargins left="0.7" right="0.7" top="0.75" bottom="0.75" header="0.3" footer="0.3"/>
  <pageSetup paperSize="9" orientation="portrait" r:id="rId1"/>
  <ignoredErrors>
    <ignoredError sqref="F9:G15 P9:Q15 H9:O15 R9:U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List Box 1">
              <controlPr defaultSize="0" autoLine="0" autoPict="0">
                <anchor moveWithCells="1">
                  <from>
                    <xdr:col>1</xdr:col>
                    <xdr:colOff>9525</xdr:colOff>
                    <xdr:row>5</xdr:row>
                    <xdr:rowOff>9525</xdr:rowOff>
                  </from>
                  <to>
                    <xdr:col>2</xdr:col>
                    <xdr:colOff>0</xdr:colOff>
                    <xdr:row>5</xdr:row>
                    <xdr:rowOff>838200</xdr:rowOff>
                  </to>
                </anchor>
              </controlPr>
            </control>
          </mc:Choice>
        </mc:AlternateContent>
        <mc:AlternateContent xmlns:mc="http://schemas.openxmlformats.org/markup-compatibility/2006">
          <mc:Choice Requires="x14">
            <control shapeId="11266" r:id="rId5" name="List Box 2">
              <controlPr defaultSize="0" autoLine="0" autoPict="0">
                <anchor moveWithCells="1">
                  <from>
                    <xdr:col>1</xdr:col>
                    <xdr:colOff>0</xdr:colOff>
                    <xdr:row>8</xdr:row>
                    <xdr:rowOff>95250</xdr:rowOff>
                  </from>
                  <to>
                    <xdr:col>2</xdr:col>
                    <xdr:colOff>0</xdr:colOff>
                    <xdr:row>13</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sheetPr>
  <dimension ref="A1:AD44"/>
  <sheetViews>
    <sheetView workbookViewId="0"/>
  </sheetViews>
  <sheetFormatPr defaultRowHeight="15" x14ac:dyDescent="0.25"/>
  <cols>
    <col min="1" max="1" width="31.85546875" bestFit="1" customWidth="1"/>
    <col min="2" max="2" width="11" bestFit="1" customWidth="1"/>
    <col min="3" max="3" width="24.140625" bestFit="1" customWidth="1"/>
    <col min="4" max="4" width="21.140625" bestFit="1" customWidth="1"/>
    <col min="5" max="5" width="18.7109375" bestFit="1" customWidth="1"/>
    <col min="6" max="6" width="17.42578125" bestFit="1" customWidth="1"/>
    <col min="7" max="7" width="35.85546875" bestFit="1" customWidth="1"/>
    <col min="8" max="8" width="34.5703125" bestFit="1" customWidth="1"/>
    <col min="9" max="9" width="30.85546875" bestFit="1" customWidth="1"/>
    <col min="10" max="10" width="12" bestFit="1" customWidth="1"/>
    <col min="11" max="11" width="19.5703125" bestFit="1" customWidth="1"/>
    <col min="12" max="12" width="11" bestFit="1" customWidth="1"/>
    <col min="13" max="13" width="11.85546875" bestFit="1" customWidth="1"/>
    <col min="14" max="14" width="5.85546875" bestFit="1" customWidth="1"/>
    <col min="15" max="16" width="21.140625" bestFit="1" customWidth="1"/>
    <col min="17" max="18" width="18.7109375" bestFit="1" customWidth="1"/>
    <col min="19" max="20" width="17.42578125" bestFit="1" customWidth="1"/>
    <col min="21" max="22" width="35.85546875" bestFit="1" customWidth="1"/>
    <col min="23" max="24" width="34.5703125" bestFit="1" customWidth="1"/>
    <col min="25" max="26" width="30.85546875" bestFit="1" customWidth="1"/>
    <col min="27" max="28" width="10.28515625" bestFit="1" customWidth="1"/>
    <col min="29" max="30" width="19.5703125" bestFit="1" customWidth="1"/>
  </cols>
  <sheetData>
    <row r="1" spans="1:30" x14ac:dyDescent="0.25">
      <c r="A1" t="s">
        <v>29</v>
      </c>
      <c r="B1" t="s">
        <v>131</v>
      </c>
      <c r="C1" t="s">
        <v>131</v>
      </c>
      <c r="D1" t="s">
        <v>131</v>
      </c>
      <c r="E1" t="s">
        <v>131</v>
      </c>
      <c r="F1" t="s">
        <v>131</v>
      </c>
      <c r="G1" t="s">
        <v>131</v>
      </c>
      <c r="H1" t="s">
        <v>131</v>
      </c>
      <c r="I1" t="s">
        <v>131</v>
      </c>
      <c r="J1" t="s">
        <v>131</v>
      </c>
      <c r="K1" t="s">
        <v>131</v>
      </c>
      <c r="L1" t="s">
        <v>131</v>
      </c>
      <c r="M1" t="s">
        <v>131</v>
      </c>
      <c r="O1" t="s">
        <v>132</v>
      </c>
      <c r="P1" t="s">
        <v>133</v>
      </c>
      <c r="Q1" t="s">
        <v>132</v>
      </c>
      <c r="R1" t="s">
        <v>133</v>
      </c>
      <c r="S1" t="s">
        <v>132</v>
      </c>
      <c r="T1" t="s">
        <v>133</v>
      </c>
      <c r="U1" t="s">
        <v>132</v>
      </c>
      <c r="V1" t="s">
        <v>133</v>
      </c>
      <c r="W1" t="s">
        <v>132</v>
      </c>
      <c r="X1" t="s">
        <v>133</v>
      </c>
      <c r="Y1" t="s">
        <v>132</v>
      </c>
      <c r="Z1" t="s">
        <v>133</v>
      </c>
      <c r="AA1" t="s">
        <v>132</v>
      </c>
      <c r="AB1" t="s">
        <v>133</v>
      </c>
      <c r="AC1" t="s">
        <v>132</v>
      </c>
      <c r="AD1" t="s">
        <v>133</v>
      </c>
    </row>
    <row r="2" spans="1:30" x14ac:dyDescent="0.25">
      <c r="A2" t="s">
        <v>29</v>
      </c>
      <c r="B2" t="s">
        <v>41</v>
      </c>
      <c r="C2" t="s">
        <v>37</v>
      </c>
      <c r="D2" t="s">
        <v>22</v>
      </c>
      <c r="E2" t="s">
        <v>23</v>
      </c>
      <c r="F2" t="s">
        <v>24</v>
      </c>
      <c r="G2" t="s">
        <v>25</v>
      </c>
      <c r="H2" t="s">
        <v>26</v>
      </c>
      <c r="I2" t="s">
        <v>27</v>
      </c>
      <c r="J2" t="s">
        <v>28</v>
      </c>
      <c r="K2" t="s">
        <v>134</v>
      </c>
      <c r="L2" t="s">
        <v>135</v>
      </c>
      <c r="M2" t="s">
        <v>136</v>
      </c>
      <c r="O2" t="s">
        <v>22</v>
      </c>
      <c r="P2" t="s">
        <v>22</v>
      </c>
      <c r="Q2" t="s">
        <v>23</v>
      </c>
      <c r="R2" t="s">
        <v>23</v>
      </c>
      <c r="S2" t="s">
        <v>24</v>
      </c>
      <c r="T2" t="s">
        <v>24</v>
      </c>
      <c r="U2" t="s">
        <v>25</v>
      </c>
      <c r="V2" t="s">
        <v>25</v>
      </c>
      <c r="W2" t="s">
        <v>26</v>
      </c>
      <c r="X2" t="s">
        <v>26</v>
      </c>
      <c r="Y2" t="s">
        <v>27</v>
      </c>
      <c r="Z2" t="s">
        <v>27</v>
      </c>
      <c r="AA2" t="s">
        <v>28</v>
      </c>
      <c r="AB2" t="s">
        <v>28</v>
      </c>
      <c r="AC2" t="s">
        <v>134</v>
      </c>
      <c r="AD2" t="s">
        <v>134</v>
      </c>
    </row>
    <row r="3" spans="1:30" x14ac:dyDescent="0.25">
      <c r="A3" t="str">
        <f>B3&amp;VLOOKUP(C3, Lookups!$E$2:$F$8,2,FALSE)</f>
        <v>BreastScreen detected</v>
      </c>
      <c r="B3" t="s">
        <v>16</v>
      </c>
      <c r="C3" t="s">
        <v>30</v>
      </c>
      <c r="D3" s="1">
        <v>0.14494787489975941</v>
      </c>
      <c r="E3" s="1">
        <v>3.1575781876503608E-3</v>
      </c>
      <c r="F3" s="1">
        <v>9.4476744186046506E-3</v>
      </c>
      <c r="G3" s="1">
        <v>3.8742983159583001E-2</v>
      </c>
      <c r="H3" s="1">
        <v>0.58535485164394552</v>
      </c>
      <c r="I3" s="1">
        <v>3.6337209302325581E-3</v>
      </c>
      <c r="J3" s="1">
        <v>2.1752205292702487E-2</v>
      </c>
      <c r="K3" s="1">
        <v>0.19296311146752204</v>
      </c>
      <c r="L3" s="1">
        <v>1</v>
      </c>
      <c r="M3" s="2">
        <v>39904</v>
      </c>
      <c r="O3" s="1">
        <v>0.14199999999999999</v>
      </c>
      <c r="P3" s="1">
        <v>0.14799999999999999</v>
      </c>
      <c r="Q3" s="1">
        <v>3.0000000000000001E-3</v>
      </c>
      <c r="R3" s="1">
        <v>4.0000000000000001E-3</v>
      </c>
      <c r="S3" s="1">
        <v>8.9999999999999993E-3</v>
      </c>
      <c r="T3" s="1">
        <v>0.01</v>
      </c>
      <c r="U3" s="1">
        <v>3.6999999999999998E-2</v>
      </c>
      <c r="V3" s="1">
        <v>4.1000000000000002E-2</v>
      </c>
      <c r="W3" s="1">
        <v>0.58099999999999996</v>
      </c>
      <c r="X3" s="1">
        <v>0.59</v>
      </c>
      <c r="Y3" s="1">
        <v>3.0000000000000001E-3</v>
      </c>
      <c r="Z3" s="1">
        <v>4.0000000000000001E-3</v>
      </c>
      <c r="AA3" s="1">
        <v>0.02</v>
      </c>
      <c r="AB3" s="1">
        <v>2.3E-2</v>
      </c>
      <c r="AC3" s="1">
        <v>0.189</v>
      </c>
      <c r="AD3" s="1">
        <v>0.19700000000000001</v>
      </c>
    </row>
    <row r="4" spans="1:30" x14ac:dyDescent="0.25">
      <c r="A4" t="str">
        <f>B4&amp;VLOOKUP(C4, Lookups!$E$2:$F$8,2,FALSE)</f>
        <v>BreastTwo Week Wait</v>
      </c>
      <c r="B4" t="s">
        <v>16</v>
      </c>
      <c r="C4" t="s">
        <v>31</v>
      </c>
      <c r="D4" s="1">
        <v>0.15302166156266681</v>
      </c>
      <c r="E4" s="1">
        <v>1.691343803556879E-2</v>
      </c>
      <c r="F4" s="1">
        <v>1.0858876745427471E-2</v>
      </c>
      <c r="G4" s="1">
        <v>7.0786390582417896E-2</v>
      </c>
      <c r="H4" s="1">
        <v>0.26382996656645968</v>
      </c>
      <c r="I4" s="1">
        <v>1.1238164807686905E-2</v>
      </c>
      <c r="J4" s="1">
        <v>0.14456494254488242</v>
      </c>
      <c r="K4" s="1">
        <v>0.32878655915489002</v>
      </c>
      <c r="L4" s="1">
        <v>1</v>
      </c>
      <c r="M4" s="2">
        <v>71186</v>
      </c>
      <c r="O4" s="1">
        <v>0.15</v>
      </c>
      <c r="P4" s="1">
        <v>0.156</v>
      </c>
      <c r="Q4" s="1">
        <v>1.6E-2</v>
      </c>
      <c r="R4" s="1">
        <v>1.7999999999999999E-2</v>
      </c>
      <c r="S4" s="1">
        <v>0.01</v>
      </c>
      <c r="T4" s="1">
        <v>1.2E-2</v>
      </c>
      <c r="U4" s="1">
        <v>6.9000000000000006E-2</v>
      </c>
      <c r="V4" s="1">
        <v>7.2999999999999995E-2</v>
      </c>
      <c r="W4" s="1">
        <v>0.26100000000000001</v>
      </c>
      <c r="X4" s="1">
        <v>0.26700000000000002</v>
      </c>
      <c r="Y4" s="1">
        <v>0.01</v>
      </c>
      <c r="Z4" s="1">
        <v>1.2E-2</v>
      </c>
      <c r="AA4" s="1">
        <v>0.14199999999999999</v>
      </c>
      <c r="AB4" s="1">
        <v>0.14699999999999999</v>
      </c>
      <c r="AC4" s="1">
        <v>0.32500000000000001</v>
      </c>
      <c r="AD4" s="1">
        <v>0.33200000000000002</v>
      </c>
    </row>
    <row r="5" spans="1:30" x14ac:dyDescent="0.25">
      <c r="A5" t="str">
        <f>B5&amp;VLOOKUP(C5, Lookups!$E$2:$F$8,2,FALSE)</f>
        <v>BreastGP referral</v>
      </c>
      <c r="B5" t="s">
        <v>16</v>
      </c>
      <c r="C5" t="s">
        <v>2</v>
      </c>
      <c r="D5" s="1">
        <v>0.21090201168072681</v>
      </c>
      <c r="E5" s="1">
        <v>3.6177806619078517E-2</v>
      </c>
      <c r="F5" s="1">
        <v>5.0129785853341984E-2</v>
      </c>
      <c r="G5" s="1">
        <v>6.8786502271252437E-2</v>
      </c>
      <c r="H5" s="1">
        <v>0.20368267358857883</v>
      </c>
      <c r="I5" s="1">
        <v>3.1716417910447763E-2</v>
      </c>
      <c r="J5" s="1">
        <v>0.227125243348475</v>
      </c>
      <c r="K5" s="1">
        <v>0.17147955872809864</v>
      </c>
      <c r="L5" s="1">
        <v>1</v>
      </c>
      <c r="M5" s="2">
        <v>12328</v>
      </c>
      <c r="O5" s="1">
        <v>0.20399999999999999</v>
      </c>
      <c r="P5" s="1">
        <v>0.218</v>
      </c>
      <c r="Q5" s="1">
        <v>3.3000000000000002E-2</v>
      </c>
      <c r="R5" s="1">
        <v>0.04</v>
      </c>
      <c r="S5" s="1">
        <v>4.5999999999999999E-2</v>
      </c>
      <c r="T5" s="1">
        <v>5.3999999999999999E-2</v>
      </c>
      <c r="U5" s="1">
        <v>6.4000000000000001E-2</v>
      </c>
      <c r="V5" s="1">
        <v>7.2999999999999995E-2</v>
      </c>
      <c r="W5" s="1">
        <v>0.19700000000000001</v>
      </c>
      <c r="X5" s="1">
        <v>0.21099999999999999</v>
      </c>
      <c r="Y5" s="1">
        <v>2.9000000000000001E-2</v>
      </c>
      <c r="Z5" s="1">
        <v>3.5000000000000003E-2</v>
      </c>
      <c r="AA5" s="1">
        <v>0.22</v>
      </c>
      <c r="AB5" s="1">
        <v>0.23499999999999999</v>
      </c>
      <c r="AC5" s="1">
        <v>0.16500000000000001</v>
      </c>
      <c r="AD5" s="1">
        <v>0.17799999999999999</v>
      </c>
    </row>
    <row r="6" spans="1:30" x14ac:dyDescent="0.25">
      <c r="A6" t="str">
        <f>B6&amp;VLOOKUP(C6, Lookups!$E$2:$F$8,2,FALSE)</f>
        <v>BreastIP &amp; OP</v>
      </c>
      <c r="B6" t="s">
        <v>16</v>
      </c>
      <c r="C6" t="s">
        <v>32</v>
      </c>
      <c r="D6" s="1">
        <v>0.23100473142220984</v>
      </c>
      <c r="E6" s="1">
        <v>4.842749791260785E-2</v>
      </c>
      <c r="F6" s="1">
        <v>3.4789869190091846E-2</v>
      </c>
      <c r="G6" s="1">
        <v>7.7929306985805732E-2</v>
      </c>
      <c r="H6" s="1">
        <v>0.25048705816866129</v>
      </c>
      <c r="I6" s="1">
        <v>3.3676593376008909E-2</v>
      </c>
      <c r="J6" s="1">
        <v>0.18285555246312274</v>
      </c>
      <c r="K6" s="1">
        <v>0.14082939048149179</v>
      </c>
      <c r="L6" s="1">
        <v>1</v>
      </c>
      <c r="M6" s="2">
        <v>3593</v>
      </c>
      <c r="O6" s="1">
        <v>0.218</v>
      </c>
      <c r="P6" s="1">
        <v>0.245</v>
      </c>
      <c r="Q6" s="1">
        <v>4.2000000000000003E-2</v>
      </c>
      <c r="R6" s="1">
        <v>5.6000000000000001E-2</v>
      </c>
      <c r="S6" s="1">
        <v>2.9000000000000001E-2</v>
      </c>
      <c r="T6" s="1">
        <v>4.1000000000000002E-2</v>
      </c>
      <c r="U6" s="1">
        <v>7.0000000000000007E-2</v>
      </c>
      <c r="V6" s="1">
        <v>8.6999999999999994E-2</v>
      </c>
      <c r="W6" s="1">
        <v>0.23699999999999999</v>
      </c>
      <c r="X6" s="1">
        <v>0.26500000000000001</v>
      </c>
      <c r="Y6" s="1">
        <v>2.8000000000000001E-2</v>
      </c>
      <c r="Z6" s="1">
        <v>0.04</v>
      </c>
      <c r="AA6" s="1">
        <v>0.17100000000000001</v>
      </c>
      <c r="AB6" s="1">
        <v>0.19600000000000001</v>
      </c>
      <c r="AC6" s="1">
        <v>0.13</v>
      </c>
      <c r="AD6" s="1">
        <v>0.153</v>
      </c>
    </row>
    <row r="7" spans="1:30" x14ac:dyDescent="0.25">
      <c r="A7" t="str">
        <f>B7&amp;VLOOKUP(C7, Lookups!$E$2:$F$8,2,FALSE)</f>
        <v>BreastEmergency presentation</v>
      </c>
      <c r="B7" t="s">
        <v>16</v>
      </c>
      <c r="C7" t="s">
        <v>33</v>
      </c>
      <c r="D7" s="1">
        <v>7.2302767840331392E-2</v>
      </c>
      <c r="E7" s="1">
        <v>5.3285633590660894E-2</v>
      </c>
      <c r="F7" s="1">
        <v>8.2282056109960464E-2</v>
      </c>
      <c r="G7" s="1">
        <v>1.5816230465072492E-2</v>
      </c>
      <c r="H7" s="1">
        <v>5.9687441159856899E-2</v>
      </c>
      <c r="I7" s="1">
        <v>4.3494633778949347E-2</v>
      </c>
      <c r="J7" s="1">
        <v>0.62172848804368297</v>
      </c>
      <c r="K7" s="1">
        <v>5.1402749011485595E-2</v>
      </c>
      <c r="L7" s="1">
        <v>1</v>
      </c>
      <c r="M7" s="2">
        <v>5311</v>
      </c>
      <c r="O7" s="1">
        <v>6.6000000000000003E-2</v>
      </c>
      <c r="P7" s="1">
        <v>0.08</v>
      </c>
      <c r="Q7" s="1">
        <v>4.8000000000000001E-2</v>
      </c>
      <c r="R7" s="1">
        <v>0.06</v>
      </c>
      <c r="S7" s="1">
        <v>7.4999999999999997E-2</v>
      </c>
      <c r="T7" s="1">
        <v>0.09</v>
      </c>
      <c r="U7" s="1">
        <v>1.2999999999999999E-2</v>
      </c>
      <c r="V7" s="1">
        <v>0.02</v>
      </c>
      <c r="W7" s="1">
        <v>5.3999999999999999E-2</v>
      </c>
      <c r="X7" s="1">
        <v>6.6000000000000003E-2</v>
      </c>
      <c r="Y7" s="1">
        <v>3.7999999999999999E-2</v>
      </c>
      <c r="Z7" s="1">
        <v>4.9000000000000002E-2</v>
      </c>
      <c r="AA7" s="1">
        <v>0.60899999999999999</v>
      </c>
      <c r="AB7" s="1">
        <v>0.63500000000000001</v>
      </c>
      <c r="AC7" s="1">
        <v>4.5999999999999999E-2</v>
      </c>
      <c r="AD7" s="1">
        <v>5.8000000000000003E-2</v>
      </c>
    </row>
    <row r="8" spans="1:30" x14ac:dyDescent="0.25">
      <c r="A8" t="str">
        <f>B8&amp;VLOOKUP(C8, Lookups!$E$2:$F$8,2,FALSE)</f>
        <v>BreastUnknown</v>
      </c>
      <c r="B8" t="s">
        <v>16</v>
      </c>
      <c r="C8" t="s">
        <v>4</v>
      </c>
      <c r="D8" s="1">
        <v>0.2564051240992794</v>
      </c>
      <c r="E8" s="1">
        <v>2.3618895116092876E-2</v>
      </c>
      <c r="F8" s="1">
        <v>5.244195356285028E-2</v>
      </c>
      <c r="G8" s="1">
        <v>5.944755804643715E-2</v>
      </c>
      <c r="H8" s="1">
        <v>0.25300240192153722</v>
      </c>
      <c r="I8" s="1">
        <v>2.822257806244996E-2</v>
      </c>
      <c r="J8" s="1">
        <v>0.18374699759807847</v>
      </c>
      <c r="K8" s="1">
        <v>0.14311449159327461</v>
      </c>
      <c r="L8" s="1">
        <v>0.99999999999999989</v>
      </c>
      <c r="M8" s="2">
        <v>4996</v>
      </c>
      <c r="O8" s="1">
        <v>0.24399999999999999</v>
      </c>
      <c r="P8" s="1">
        <v>0.26900000000000002</v>
      </c>
      <c r="Q8" s="1">
        <v>0.02</v>
      </c>
      <c r="R8" s="1">
        <v>2.8000000000000001E-2</v>
      </c>
      <c r="S8" s="1">
        <v>4.7E-2</v>
      </c>
      <c r="T8" s="1">
        <v>5.8999999999999997E-2</v>
      </c>
      <c r="U8" s="1">
        <v>5.2999999999999999E-2</v>
      </c>
      <c r="V8" s="1">
        <v>6.6000000000000003E-2</v>
      </c>
      <c r="W8" s="1">
        <v>0.24099999999999999</v>
      </c>
      <c r="X8" s="1">
        <v>0.26500000000000001</v>
      </c>
      <c r="Y8" s="1">
        <v>2.4E-2</v>
      </c>
      <c r="Z8" s="1">
        <v>3.3000000000000002E-2</v>
      </c>
      <c r="AA8" s="1">
        <v>0.17299999999999999</v>
      </c>
      <c r="AB8" s="1">
        <v>0.19500000000000001</v>
      </c>
      <c r="AC8" s="1">
        <v>0.13400000000000001</v>
      </c>
      <c r="AD8" s="1">
        <v>0.153</v>
      </c>
    </row>
    <row r="9" spans="1:30" x14ac:dyDescent="0.25">
      <c r="A9" t="str">
        <f>B9&amp;VLOOKUP(C9, Lookups!$E$2:$F$8,2,FALSE)</f>
        <v>BreastAll Routes</v>
      </c>
      <c r="B9" t="s">
        <v>16</v>
      </c>
      <c r="C9" t="s">
        <v>34</v>
      </c>
      <c r="D9" s="1">
        <v>0.15855168295489303</v>
      </c>
      <c r="E9" s="1">
        <v>1.7120843589332791E-2</v>
      </c>
      <c r="F9" s="1">
        <v>1.887589391048515E-2</v>
      </c>
      <c r="G9" s="1">
        <v>5.8943474271399232E-2</v>
      </c>
      <c r="H9" s="1">
        <v>0.34322521446569276</v>
      </c>
      <c r="I9" s="1">
        <v>1.331944828791564E-2</v>
      </c>
      <c r="J9" s="1">
        <v>0.137170654976041</v>
      </c>
      <c r="K9" s="1">
        <v>0.25279278754424039</v>
      </c>
      <c r="L9" s="1">
        <v>1</v>
      </c>
      <c r="M9" s="2">
        <v>137318</v>
      </c>
      <c r="O9" s="1">
        <v>0.157</v>
      </c>
      <c r="P9" s="1">
        <v>0.16</v>
      </c>
      <c r="Q9" s="1">
        <v>1.6E-2</v>
      </c>
      <c r="R9" s="1">
        <v>1.7999999999999999E-2</v>
      </c>
      <c r="S9" s="1">
        <v>1.7999999999999999E-2</v>
      </c>
      <c r="T9" s="1">
        <v>0.02</v>
      </c>
      <c r="U9" s="1">
        <v>5.8000000000000003E-2</v>
      </c>
      <c r="V9" s="1">
        <v>0.06</v>
      </c>
      <c r="W9" s="1">
        <v>0.34100000000000003</v>
      </c>
      <c r="X9" s="1">
        <v>0.34599999999999997</v>
      </c>
      <c r="Y9" s="1">
        <v>1.2999999999999999E-2</v>
      </c>
      <c r="Z9" s="1">
        <v>1.4E-2</v>
      </c>
      <c r="AA9" s="1">
        <v>0.13500000000000001</v>
      </c>
      <c r="AB9" s="1">
        <v>0.13900000000000001</v>
      </c>
      <c r="AC9" s="1">
        <v>0.251</v>
      </c>
      <c r="AD9" s="1">
        <v>0.255</v>
      </c>
    </row>
    <row r="10" spans="1:30" x14ac:dyDescent="0.25">
      <c r="A10" t="str">
        <f>B10&amp;VLOOKUP(C10, Lookups!$E$2:$F$8,2,FALSE)</f>
        <v>ColonScreen detected</v>
      </c>
      <c r="B10" t="s">
        <v>17</v>
      </c>
      <c r="C10" t="s">
        <v>30</v>
      </c>
      <c r="D10" s="1">
        <v>0.58703271028037385</v>
      </c>
      <c r="E10" s="1">
        <v>3.5046728971962614E-2</v>
      </c>
      <c r="F10" s="1">
        <v>2.0443925233644858E-3</v>
      </c>
      <c r="G10" s="1">
        <v>0.31673481308411217</v>
      </c>
      <c r="H10" s="1">
        <v>2.9205607476635513E-3</v>
      </c>
      <c r="I10" s="1">
        <v>6.7172897196261681E-3</v>
      </c>
      <c r="J10" s="1">
        <v>4.1910046728971966E-2</v>
      </c>
      <c r="K10" s="1">
        <v>7.5934579439252336E-3</v>
      </c>
      <c r="L10" s="1">
        <v>0.99999999999999989</v>
      </c>
      <c r="M10" s="2">
        <v>6848</v>
      </c>
      <c r="O10" s="1">
        <v>0.57499999999999996</v>
      </c>
      <c r="P10" s="1">
        <v>0.59899999999999998</v>
      </c>
      <c r="Q10" s="1">
        <v>3.1E-2</v>
      </c>
      <c r="R10" s="1">
        <v>0.04</v>
      </c>
      <c r="S10" s="1">
        <v>1E-3</v>
      </c>
      <c r="T10" s="1">
        <v>3.0000000000000001E-3</v>
      </c>
      <c r="U10" s="1">
        <v>0.30599999999999999</v>
      </c>
      <c r="V10" s="1">
        <v>0.32800000000000001</v>
      </c>
      <c r="W10" s="1">
        <v>2E-3</v>
      </c>
      <c r="X10" s="1">
        <v>5.0000000000000001E-3</v>
      </c>
      <c r="Y10" s="1">
        <v>5.0000000000000001E-3</v>
      </c>
      <c r="Z10" s="1">
        <v>8.9999999999999993E-3</v>
      </c>
      <c r="AA10" s="1">
        <v>3.6999999999999998E-2</v>
      </c>
      <c r="AB10" s="1">
        <v>4.7E-2</v>
      </c>
      <c r="AC10" s="1">
        <v>6.0000000000000001E-3</v>
      </c>
      <c r="AD10" s="1">
        <v>0.01</v>
      </c>
    </row>
    <row r="11" spans="1:30" x14ac:dyDescent="0.25">
      <c r="A11" t="str">
        <f>B11&amp;VLOOKUP(C11, Lookups!$E$2:$F$8,2,FALSE)</f>
        <v>ColonTwo Week Wait</v>
      </c>
      <c r="B11" t="s">
        <v>17</v>
      </c>
      <c r="C11" t="s">
        <v>31</v>
      </c>
      <c r="D11" s="1">
        <v>0.45760133477279419</v>
      </c>
      <c r="E11" s="1">
        <v>9.9715379330650708E-2</v>
      </c>
      <c r="F11" s="1">
        <v>7.9497497301010897E-3</v>
      </c>
      <c r="G11" s="1">
        <v>0.2526253803121013</v>
      </c>
      <c r="H11" s="1">
        <v>5.5451957993915011E-3</v>
      </c>
      <c r="I11" s="1">
        <v>1.5899499460202179E-2</v>
      </c>
      <c r="J11" s="1">
        <v>0.14795367553243693</v>
      </c>
      <c r="K11" s="1">
        <v>1.2709785062322112E-2</v>
      </c>
      <c r="L11" s="1">
        <v>1</v>
      </c>
      <c r="M11" s="2">
        <v>20378</v>
      </c>
      <c r="O11" s="1">
        <v>0.45100000000000001</v>
      </c>
      <c r="P11" s="1">
        <v>0.46400000000000002</v>
      </c>
      <c r="Q11" s="1">
        <v>9.6000000000000002E-2</v>
      </c>
      <c r="R11" s="1">
        <v>0.104</v>
      </c>
      <c r="S11" s="1">
        <v>7.0000000000000001E-3</v>
      </c>
      <c r="T11" s="1">
        <v>8.9999999999999993E-3</v>
      </c>
      <c r="U11" s="1">
        <v>0.247</v>
      </c>
      <c r="V11" s="1">
        <v>0.25900000000000001</v>
      </c>
      <c r="W11" s="1">
        <v>5.0000000000000001E-3</v>
      </c>
      <c r="X11" s="1">
        <v>7.0000000000000001E-3</v>
      </c>
      <c r="Y11" s="1">
        <v>1.4E-2</v>
      </c>
      <c r="Z11" s="1">
        <v>1.7999999999999999E-2</v>
      </c>
      <c r="AA11" s="1">
        <v>0.14299999999999999</v>
      </c>
      <c r="AB11" s="1">
        <v>0.153</v>
      </c>
      <c r="AC11" s="1">
        <v>1.0999999999999999E-2</v>
      </c>
      <c r="AD11" s="1">
        <v>1.4E-2</v>
      </c>
    </row>
    <row r="12" spans="1:30" x14ac:dyDescent="0.25">
      <c r="A12" t="str">
        <f>B12&amp;VLOOKUP(C12, Lookups!$E$2:$F$8,2,FALSE)</f>
        <v>ColonGP referral</v>
      </c>
      <c r="B12" t="s">
        <v>17</v>
      </c>
      <c r="C12" t="s">
        <v>2</v>
      </c>
      <c r="D12" s="1">
        <v>0.44903663177925784</v>
      </c>
      <c r="E12" s="1">
        <v>7.4988106565176016E-2</v>
      </c>
      <c r="F12" s="1">
        <v>9.9310180780209333E-3</v>
      </c>
      <c r="G12" s="1">
        <v>0.19986917221693626</v>
      </c>
      <c r="H12" s="1">
        <v>6.0061845861084685E-3</v>
      </c>
      <c r="I12" s="1">
        <v>1.3558515699333968E-2</v>
      </c>
      <c r="J12" s="1">
        <v>0.2373929590865842</v>
      </c>
      <c r="K12" s="1">
        <v>9.2174119885823028E-3</v>
      </c>
      <c r="L12" s="1">
        <v>0.99999999999999989</v>
      </c>
      <c r="M12" s="2">
        <v>16816</v>
      </c>
      <c r="O12" s="1">
        <v>0.442</v>
      </c>
      <c r="P12" s="1">
        <v>0.45700000000000002</v>
      </c>
      <c r="Q12" s="1">
        <v>7.0999999999999994E-2</v>
      </c>
      <c r="R12" s="1">
        <v>7.9000000000000001E-2</v>
      </c>
      <c r="S12" s="1">
        <v>8.9999999999999993E-3</v>
      </c>
      <c r="T12" s="1">
        <v>1.2E-2</v>
      </c>
      <c r="U12" s="1">
        <v>0.19400000000000001</v>
      </c>
      <c r="V12" s="1">
        <v>0.20599999999999999</v>
      </c>
      <c r="W12" s="1">
        <v>5.0000000000000001E-3</v>
      </c>
      <c r="X12" s="1">
        <v>7.0000000000000001E-3</v>
      </c>
      <c r="Y12" s="1">
        <v>1.2E-2</v>
      </c>
      <c r="Z12" s="1">
        <v>1.4999999999999999E-2</v>
      </c>
      <c r="AA12" s="1">
        <v>0.23100000000000001</v>
      </c>
      <c r="AB12" s="1">
        <v>0.24399999999999999</v>
      </c>
      <c r="AC12" s="1">
        <v>8.0000000000000002E-3</v>
      </c>
      <c r="AD12" s="1">
        <v>1.0999999999999999E-2</v>
      </c>
    </row>
    <row r="13" spans="1:30" x14ac:dyDescent="0.25">
      <c r="A13" t="str">
        <f>B13&amp;VLOOKUP(C13, Lookups!$E$2:$F$8,2,FALSE)</f>
        <v>ColonIP &amp; OP</v>
      </c>
      <c r="B13" t="s">
        <v>17</v>
      </c>
      <c r="C13" t="s">
        <v>32</v>
      </c>
      <c r="D13" s="1">
        <v>0.46991037131882202</v>
      </c>
      <c r="E13" s="1">
        <v>8.2330345710627403E-2</v>
      </c>
      <c r="F13" s="1">
        <v>8.7067861715749047E-3</v>
      </c>
      <c r="G13" s="1">
        <v>0.21037131882202303</v>
      </c>
      <c r="H13" s="1">
        <v>4.3533930857874523E-3</v>
      </c>
      <c r="I13" s="1">
        <v>1.1523687580025609E-2</v>
      </c>
      <c r="J13" s="1">
        <v>0.20460947503201024</v>
      </c>
      <c r="K13" s="1">
        <v>8.1946222791293207E-3</v>
      </c>
      <c r="L13" s="1">
        <v>1</v>
      </c>
      <c r="M13" s="2">
        <v>7810</v>
      </c>
      <c r="O13" s="1">
        <v>0.45900000000000002</v>
      </c>
      <c r="P13" s="1">
        <v>0.48099999999999998</v>
      </c>
      <c r="Q13" s="1">
        <v>7.5999999999999998E-2</v>
      </c>
      <c r="R13" s="1">
        <v>8.8999999999999996E-2</v>
      </c>
      <c r="S13" s="1">
        <v>7.0000000000000001E-3</v>
      </c>
      <c r="T13" s="1">
        <v>1.0999999999999999E-2</v>
      </c>
      <c r="U13" s="1">
        <v>0.20100000000000001</v>
      </c>
      <c r="V13" s="1">
        <v>0.22</v>
      </c>
      <c r="W13" s="1">
        <v>3.0000000000000001E-3</v>
      </c>
      <c r="X13" s="1">
        <v>6.0000000000000001E-3</v>
      </c>
      <c r="Y13" s="1">
        <v>8.9999999999999993E-3</v>
      </c>
      <c r="Z13" s="1">
        <v>1.4E-2</v>
      </c>
      <c r="AA13" s="1">
        <v>0.19600000000000001</v>
      </c>
      <c r="AB13" s="1">
        <v>0.214</v>
      </c>
      <c r="AC13" s="1">
        <v>6.0000000000000001E-3</v>
      </c>
      <c r="AD13" s="1">
        <v>0.01</v>
      </c>
    </row>
    <row r="14" spans="1:30" x14ac:dyDescent="0.25">
      <c r="A14" t="str">
        <f>B14&amp;VLOOKUP(C14, Lookups!$E$2:$F$8,2,FALSE)</f>
        <v>ColonEmergency presentation</v>
      </c>
      <c r="B14" t="s">
        <v>17</v>
      </c>
      <c r="C14" t="s">
        <v>33</v>
      </c>
      <c r="D14" s="1">
        <v>0.310063039925286</v>
      </c>
      <c r="E14" s="1">
        <v>4.7723558253560588E-2</v>
      </c>
      <c r="F14" s="1">
        <v>8.3586271305159943E-3</v>
      </c>
      <c r="G14" s="1">
        <v>0.19593742703712352</v>
      </c>
      <c r="H14" s="1">
        <v>3.6890030352556618E-3</v>
      </c>
      <c r="I14" s="1">
        <v>6.9110436609852903E-3</v>
      </c>
      <c r="J14" s="1">
        <v>0.42017277609152465</v>
      </c>
      <c r="K14" s="1">
        <v>7.1445248657483074E-3</v>
      </c>
      <c r="L14" s="1">
        <v>1</v>
      </c>
      <c r="M14" s="2">
        <v>21415</v>
      </c>
      <c r="O14" s="1">
        <v>0.30399999999999999</v>
      </c>
      <c r="P14" s="1">
        <v>0.316</v>
      </c>
      <c r="Q14" s="1">
        <v>4.4999999999999998E-2</v>
      </c>
      <c r="R14" s="1">
        <v>5.0999999999999997E-2</v>
      </c>
      <c r="S14" s="1">
        <v>7.0000000000000001E-3</v>
      </c>
      <c r="T14" s="1">
        <v>0.01</v>
      </c>
      <c r="U14" s="1">
        <v>0.191</v>
      </c>
      <c r="V14" s="1">
        <v>0.20100000000000001</v>
      </c>
      <c r="W14" s="1">
        <v>3.0000000000000001E-3</v>
      </c>
      <c r="X14" s="1">
        <v>5.0000000000000001E-3</v>
      </c>
      <c r="Y14" s="1">
        <v>6.0000000000000001E-3</v>
      </c>
      <c r="Z14" s="1">
        <v>8.0000000000000002E-3</v>
      </c>
      <c r="AA14" s="1">
        <v>0.41399999999999998</v>
      </c>
      <c r="AB14" s="1">
        <v>0.42699999999999999</v>
      </c>
      <c r="AC14" s="1">
        <v>6.0000000000000001E-3</v>
      </c>
      <c r="AD14" s="1">
        <v>8.0000000000000002E-3</v>
      </c>
    </row>
    <row r="15" spans="1:30" x14ac:dyDescent="0.25">
      <c r="A15" t="str">
        <f>B15&amp;VLOOKUP(C15, Lookups!$E$2:$F$8,2,FALSE)</f>
        <v>ColonUnknown</v>
      </c>
      <c r="B15" t="s">
        <v>17</v>
      </c>
      <c r="C15" t="s">
        <v>4</v>
      </c>
      <c r="D15" s="1">
        <v>0.30565371024734983</v>
      </c>
      <c r="E15" s="1">
        <v>7.8327444051825679E-2</v>
      </c>
      <c r="F15" s="1">
        <v>8.8339222614840993E-3</v>
      </c>
      <c r="G15" s="1">
        <v>0.11189634864546526</v>
      </c>
      <c r="H15" s="1">
        <v>2.3557126030624262E-3</v>
      </c>
      <c r="I15" s="1">
        <v>1.2956419316843345E-2</v>
      </c>
      <c r="J15" s="1">
        <v>0.4746760895170789</v>
      </c>
      <c r="K15" s="1">
        <v>5.3003533568904597E-3</v>
      </c>
      <c r="L15" s="1">
        <v>1</v>
      </c>
      <c r="M15" s="2">
        <v>1698</v>
      </c>
      <c r="O15" s="1">
        <v>0.28399999999999997</v>
      </c>
      <c r="P15" s="1">
        <v>0.32800000000000001</v>
      </c>
      <c r="Q15" s="1">
        <v>6.6000000000000003E-2</v>
      </c>
      <c r="R15" s="1">
        <v>9.1999999999999998E-2</v>
      </c>
      <c r="S15" s="1">
        <v>5.0000000000000001E-3</v>
      </c>
      <c r="T15" s="1">
        <v>1.4999999999999999E-2</v>
      </c>
      <c r="U15" s="1">
        <v>9.8000000000000004E-2</v>
      </c>
      <c r="V15" s="1">
        <v>0.128</v>
      </c>
      <c r="W15" s="1">
        <v>1E-3</v>
      </c>
      <c r="X15" s="1">
        <v>6.0000000000000001E-3</v>
      </c>
      <c r="Y15" s="1">
        <v>8.9999999999999993E-3</v>
      </c>
      <c r="Z15" s="1">
        <v>0.02</v>
      </c>
      <c r="AA15" s="1">
        <v>0.45100000000000001</v>
      </c>
      <c r="AB15" s="1">
        <v>0.498</v>
      </c>
      <c r="AC15" s="1">
        <v>3.0000000000000001E-3</v>
      </c>
      <c r="AD15" s="1">
        <v>0.01</v>
      </c>
    </row>
    <row r="16" spans="1:30" x14ac:dyDescent="0.25">
      <c r="A16" t="str">
        <f>B16&amp;VLOOKUP(C16, Lookups!$E$2:$F$8,2,FALSE)</f>
        <v>ColonAll Routes</v>
      </c>
      <c r="B16" t="s">
        <v>17</v>
      </c>
      <c r="C16" t="s">
        <v>34</v>
      </c>
      <c r="D16" s="1">
        <v>0.42319749216300939</v>
      </c>
      <c r="E16" s="1">
        <v>7.1113186153538316E-2</v>
      </c>
      <c r="F16" s="1">
        <v>8.0704328686720464E-3</v>
      </c>
      <c r="G16" s="1">
        <v>0.22286400320149402</v>
      </c>
      <c r="H16" s="1">
        <v>4.6821850196758488E-3</v>
      </c>
      <c r="I16" s="1">
        <v>1.1445341159207631E-2</v>
      </c>
      <c r="J16" s="1">
        <v>0.24939638497965716</v>
      </c>
      <c r="K16" s="1">
        <v>9.2309744547455479E-3</v>
      </c>
      <c r="L16" s="1">
        <v>0.99999999999999989</v>
      </c>
      <c r="M16" s="2">
        <v>74965</v>
      </c>
      <c r="O16" s="1">
        <v>0.42</v>
      </c>
      <c r="P16" s="1">
        <v>0.42699999999999999</v>
      </c>
      <c r="Q16" s="1">
        <v>6.9000000000000006E-2</v>
      </c>
      <c r="R16" s="1">
        <v>7.2999999999999995E-2</v>
      </c>
      <c r="S16" s="1">
        <v>7.0000000000000001E-3</v>
      </c>
      <c r="T16" s="1">
        <v>8.9999999999999993E-3</v>
      </c>
      <c r="U16" s="1">
        <v>0.22</v>
      </c>
      <c r="V16" s="1">
        <v>0.22600000000000001</v>
      </c>
      <c r="W16" s="1">
        <v>4.0000000000000001E-3</v>
      </c>
      <c r="X16" s="1">
        <v>5.0000000000000001E-3</v>
      </c>
      <c r="Y16" s="1">
        <v>1.0999999999999999E-2</v>
      </c>
      <c r="Z16" s="1">
        <v>1.2E-2</v>
      </c>
      <c r="AA16" s="1">
        <v>0.246</v>
      </c>
      <c r="AB16" s="1">
        <v>0.253</v>
      </c>
      <c r="AC16" s="1">
        <v>8.9999999999999993E-3</v>
      </c>
      <c r="AD16" s="1">
        <v>0.01</v>
      </c>
    </row>
    <row r="17" spans="1:30" x14ac:dyDescent="0.25">
      <c r="A17" t="str">
        <f>B17&amp;VLOOKUP(C17, Lookups!$E$2:$F$8,2,FALSE)</f>
        <v>RectumScreen detected</v>
      </c>
      <c r="B17" t="s">
        <v>18</v>
      </c>
      <c r="C17" t="s">
        <v>30</v>
      </c>
      <c r="D17" s="1">
        <v>0.4613778705636743</v>
      </c>
      <c r="E17" s="1">
        <v>2.3312456506610995E-2</v>
      </c>
      <c r="F17" s="1">
        <v>1.5657620041753653E-2</v>
      </c>
      <c r="G17" s="1">
        <v>0.17780097425191371</v>
      </c>
      <c r="H17" s="1">
        <v>7.480862908837857E-2</v>
      </c>
      <c r="I17" s="1">
        <v>4.5233124565066112E-2</v>
      </c>
      <c r="J17" s="1">
        <v>3.5142658315935979E-2</v>
      </c>
      <c r="K17" s="1">
        <v>0.16666666666666666</v>
      </c>
      <c r="L17" s="1">
        <v>1</v>
      </c>
      <c r="M17" s="2">
        <v>2874</v>
      </c>
      <c r="O17" s="1">
        <v>0.443</v>
      </c>
      <c r="P17" s="1">
        <v>0.48</v>
      </c>
      <c r="Q17" s="1">
        <v>1.7999999999999999E-2</v>
      </c>
      <c r="R17" s="1">
        <v>2.9000000000000001E-2</v>
      </c>
      <c r="S17" s="1">
        <v>1.2E-2</v>
      </c>
      <c r="T17" s="1">
        <v>2.1000000000000001E-2</v>
      </c>
      <c r="U17" s="1">
        <v>0.16400000000000001</v>
      </c>
      <c r="V17" s="1">
        <v>0.192</v>
      </c>
      <c r="W17" s="1">
        <v>6.6000000000000003E-2</v>
      </c>
      <c r="X17" s="1">
        <v>8.5000000000000006E-2</v>
      </c>
      <c r="Y17" s="1">
        <v>3.7999999999999999E-2</v>
      </c>
      <c r="Z17" s="1">
        <v>5.2999999999999999E-2</v>
      </c>
      <c r="AA17" s="1">
        <v>2.9000000000000001E-2</v>
      </c>
      <c r="AB17" s="1">
        <v>4.2999999999999997E-2</v>
      </c>
      <c r="AC17" s="1">
        <v>0.153</v>
      </c>
      <c r="AD17" s="1">
        <v>0.18099999999999999</v>
      </c>
    </row>
    <row r="18" spans="1:30" x14ac:dyDescent="0.25">
      <c r="A18" t="str">
        <f>B18&amp;VLOOKUP(C18, Lookups!$E$2:$F$8,2,FALSE)</f>
        <v>RectumTwo Week Wait</v>
      </c>
      <c r="B18" t="s">
        <v>18</v>
      </c>
      <c r="C18" t="s">
        <v>31</v>
      </c>
      <c r="D18" s="1">
        <v>0.25582822085889573</v>
      </c>
      <c r="E18" s="1">
        <v>6.2489044697633653E-2</v>
      </c>
      <c r="F18" s="1">
        <v>7.7826468010517097E-2</v>
      </c>
      <c r="G18" s="1">
        <v>0.10946538124452235</v>
      </c>
      <c r="H18" s="1">
        <v>7.9666958808063099E-2</v>
      </c>
      <c r="I18" s="1">
        <v>0.10525854513584575</v>
      </c>
      <c r="J18" s="1">
        <v>8.6678352322524105E-2</v>
      </c>
      <c r="K18" s="1">
        <v>0.22278702892199825</v>
      </c>
      <c r="L18" s="1">
        <v>1</v>
      </c>
      <c r="M18" s="2">
        <v>11410</v>
      </c>
      <c r="O18" s="1">
        <v>0.248</v>
      </c>
      <c r="P18" s="1">
        <v>0.26400000000000001</v>
      </c>
      <c r="Q18" s="1">
        <v>5.8000000000000003E-2</v>
      </c>
      <c r="R18" s="1">
        <v>6.7000000000000004E-2</v>
      </c>
      <c r="S18" s="1">
        <v>7.2999999999999995E-2</v>
      </c>
      <c r="T18" s="1">
        <v>8.3000000000000004E-2</v>
      </c>
      <c r="U18" s="1">
        <v>0.104</v>
      </c>
      <c r="V18" s="1">
        <v>0.115</v>
      </c>
      <c r="W18" s="1">
        <v>7.4999999999999997E-2</v>
      </c>
      <c r="X18" s="1">
        <v>8.5000000000000006E-2</v>
      </c>
      <c r="Y18" s="1">
        <v>0.1</v>
      </c>
      <c r="Z18" s="1">
        <v>0.111</v>
      </c>
      <c r="AA18" s="1">
        <v>8.2000000000000003E-2</v>
      </c>
      <c r="AB18" s="1">
        <v>9.1999999999999998E-2</v>
      </c>
      <c r="AC18" s="1">
        <v>0.215</v>
      </c>
      <c r="AD18" s="1">
        <v>0.23100000000000001</v>
      </c>
    </row>
    <row r="19" spans="1:30" x14ac:dyDescent="0.25">
      <c r="A19" t="str">
        <f>B19&amp;VLOOKUP(C19, Lookups!$E$2:$F$8,2,FALSE)</f>
        <v>RectumGP referral</v>
      </c>
      <c r="B19" t="s">
        <v>18</v>
      </c>
      <c r="C19" t="s">
        <v>2</v>
      </c>
      <c r="D19" s="1">
        <v>0.30830913866998477</v>
      </c>
      <c r="E19" s="1">
        <v>4.6730264067468545E-2</v>
      </c>
      <c r="F19" s="1">
        <v>7.7146412277063453E-2</v>
      </c>
      <c r="G19" s="1">
        <v>9.4704825107147797E-2</v>
      </c>
      <c r="H19" s="1">
        <v>7.3551776579565881E-2</v>
      </c>
      <c r="I19" s="1">
        <v>8.2814876261578879E-2</v>
      </c>
      <c r="J19" s="1">
        <v>0.15346329323931979</v>
      </c>
      <c r="K19" s="1">
        <v>0.16327941379787086</v>
      </c>
      <c r="L19" s="1">
        <v>1</v>
      </c>
      <c r="M19" s="2">
        <v>7233</v>
      </c>
      <c r="O19" s="1">
        <v>0.29799999999999999</v>
      </c>
      <c r="P19" s="1">
        <v>0.31900000000000001</v>
      </c>
      <c r="Q19" s="1">
        <v>4.2000000000000003E-2</v>
      </c>
      <c r="R19" s="1">
        <v>5.1999999999999998E-2</v>
      </c>
      <c r="S19" s="1">
        <v>7.0999999999999994E-2</v>
      </c>
      <c r="T19" s="1">
        <v>8.4000000000000005E-2</v>
      </c>
      <c r="U19" s="1">
        <v>8.7999999999999995E-2</v>
      </c>
      <c r="V19" s="1">
        <v>0.10199999999999999</v>
      </c>
      <c r="W19" s="1">
        <v>6.8000000000000005E-2</v>
      </c>
      <c r="X19" s="1">
        <v>0.08</v>
      </c>
      <c r="Y19" s="1">
        <v>7.6999999999999999E-2</v>
      </c>
      <c r="Z19" s="1">
        <v>8.8999999999999996E-2</v>
      </c>
      <c r="AA19" s="1">
        <v>0.14499999999999999</v>
      </c>
      <c r="AB19" s="1">
        <v>0.16200000000000001</v>
      </c>
      <c r="AC19" s="1">
        <v>0.155</v>
      </c>
      <c r="AD19" s="1">
        <v>0.17199999999999999</v>
      </c>
    </row>
    <row r="20" spans="1:30" x14ac:dyDescent="0.25">
      <c r="A20" t="str">
        <f>B20&amp;VLOOKUP(C20, Lookups!$E$2:$F$8,2,FALSE)</f>
        <v>RectumIP &amp; OP</v>
      </c>
      <c r="B20" t="s">
        <v>18</v>
      </c>
      <c r="C20" t="s">
        <v>32</v>
      </c>
      <c r="D20" s="1">
        <v>0.34383508362504861</v>
      </c>
      <c r="E20" s="1">
        <v>5.3286658887592375E-2</v>
      </c>
      <c r="F20" s="1">
        <v>6.8066900038895373E-2</v>
      </c>
      <c r="G20" s="1">
        <v>0.10579541034616881</v>
      </c>
      <c r="H20" s="1">
        <v>5.1730844029560484E-2</v>
      </c>
      <c r="I20" s="1">
        <v>7.2734344612991053E-2</v>
      </c>
      <c r="J20" s="1">
        <v>0.16297160637884092</v>
      </c>
      <c r="K20" s="1">
        <v>0.14157915208090238</v>
      </c>
      <c r="L20" s="1">
        <v>1</v>
      </c>
      <c r="M20" s="2">
        <v>2571</v>
      </c>
      <c r="O20" s="1">
        <v>0.32600000000000001</v>
      </c>
      <c r="P20" s="1">
        <v>0.36199999999999999</v>
      </c>
      <c r="Q20" s="1">
        <v>4.4999999999999998E-2</v>
      </c>
      <c r="R20" s="1">
        <v>6.3E-2</v>
      </c>
      <c r="S20" s="1">
        <v>5.8999999999999997E-2</v>
      </c>
      <c r="T20" s="1">
        <v>7.8E-2</v>
      </c>
      <c r="U20" s="1">
        <v>9.4E-2</v>
      </c>
      <c r="V20" s="1">
        <v>0.11799999999999999</v>
      </c>
      <c r="W20" s="1">
        <v>4.3999999999999997E-2</v>
      </c>
      <c r="X20" s="1">
        <v>6.0999999999999999E-2</v>
      </c>
      <c r="Y20" s="1">
        <v>6.3E-2</v>
      </c>
      <c r="Z20" s="1">
        <v>8.3000000000000004E-2</v>
      </c>
      <c r="AA20" s="1">
        <v>0.14899999999999999</v>
      </c>
      <c r="AB20" s="1">
        <v>0.17799999999999999</v>
      </c>
      <c r="AC20" s="1">
        <v>0.129</v>
      </c>
      <c r="AD20" s="1">
        <v>0.156</v>
      </c>
    </row>
    <row r="21" spans="1:30" x14ac:dyDescent="0.25">
      <c r="A21" t="str">
        <f>B21&amp;VLOOKUP(C21, Lookups!$E$2:$F$8,2,FALSE)</f>
        <v>RectumEmergency presentation</v>
      </c>
      <c r="B21" t="s">
        <v>18</v>
      </c>
      <c r="C21" t="s">
        <v>33</v>
      </c>
      <c r="D21" s="1">
        <v>0.14171208720743828</v>
      </c>
      <c r="E21" s="1">
        <v>5.1298493106764986E-2</v>
      </c>
      <c r="F21" s="1">
        <v>0.1006732927220263</v>
      </c>
      <c r="G21" s="1">
        <v>5.8993267072779736E-2</v>
      </c>
      <c r="H21" s="1">
        <v>3.7191407502404614E-2</v>
      </c>
      <c r="I21" s="1">
        <v>6.7329272202629048E-2</v>
      </c>
      <c r="J21" s="1">
        <v>0.47579352356524529</v>
      </c>
      <c r="K21" s="1">
        <v>6.7008656620711773E-2</v>
      </c>
      <c r="L21" s="1">
        <v>1</v>
      </c>
      <c r="M21" s="2">
        <v>3119</v>
      </c>
      <c r="O21" s="1">
        <v>0.13</v>
      </c>
      <c r="P21" s="1">
        <v>0.154</v>
      </c>
      <c r="Q21" s="1">
        <v>4.3999999999999997E-2</v>
      </c>
      <c r="R21" s="1">
        <v>0.06</v>
      </c>
      <c r="S21" s="1">
        <v>9.0999999999999998E-2</v>
      </c>
      <c r="T21" s="1">
        <v>0.112</v>
      </c>
      <c r="U21" s="1">
        <v>5.0999999999999997E-2</v>
      </c>
      <c r="V21" s="1">
        <v>6.8000000000000005E-2</v>
      </c>
      <c r="W21" s="1">
        <v>3.1E-2</v>
      </c>
      <c r="X21" s="1">
        <v>4.3999999999999997E-2</v>
      </c>
      <c r="Y21" s="1">
        <v>5.8999999999999997E-2</v>
      </c>
      <c r="Z21" s="1">
        <v>7.6999999999999999E-2</v>
      </c>
      <c r="AA21" s="1">
        <v>0.45800000000000002</v>
      </c>
      <c r="AB21" s="1">
        <v>0.49299999999999999</v>
      </c>
      <c r="AC21" s="1">
        <v>5.8999999999999997E-2</v>
      </c>
      <c r="AD21" s="1">
        <v>7.5999999999999998E-2</v>
      </c>
    </row>
    <row r="22" spans="1:30" x14ac:dyDescent="0.25">
      <c r="A22" t="str">
        <f>B22&amp;VLOOKUP(C22, Lookups!$E$2:$F$8,2,FALSE)</f>
        <v>RectumUnknown</v>
      </c>
      <c r="B22" t="s">
        <v>18</v>
      </c>
      <c r="C22" t="s">
        <v>4</v>
      </c>
      <c r="D22" s="1">
        <v>0.26030927835051548</v>
      </c>
      <c r="E22" s="1">
        <v>4.7680412371134018E-2</v>
      </c>
      <c r="F22" s="1">
        <v>7.4742268041237112E-2</v>
      </c>
      <c r="G22" s="1">
        <v>6.4432989690721643E-2</v>
      </c>
      <c r="H22" s="1">
        <v>5.6701030927835051E-2</v>
      </c>
      <c r="I22" s="1">
        <v>5.9278350515463915E-2</v>
      </c>
      <c r="J22" s="1">
        <v>0.32474226804123713</v>
      </c>
      <c r="K22" s="1">
        <v>0.11211340206185567</v>
      </c>
      <c r="L22" s="1">
        <v>1</v>
      </c>
      <c r="M22" s="2">
        <v>776</v>
      </c>
      <c r="O22" s="1">
        <v>0.23100000000000001</v>
      </c>
      <c r="P22" s="1">
        <v>0.29199999999999998</v>
      </c>
      <c r="Q22" s="1">
        <v>3.5000000000000003E-2</v>
      </c>
      <c r="R22" s="1">
        <v>6.5000000000000002E-2</v>
      </c>
      <c r="S22" s="1">
        <v>5.8000000000000003E-2</v>
      </c>
      <c r="T22" s="1">
        <v>9.5000000000000001E-2</v>
      </c>
      <c r="U22" s="1">
        <v>4.9000000000000002E-2</v>
      </c>
      <c r="V22" s="1">
        <v>8.4000000000000005E-2</v>
      </c>
      <c r="W22" s="1">
        <v>4.2999999999999997E-2</v>
      </c>
      <c r="X22" s="1">
        <v>7.4999999999999997E-2</v>
      </c>
      <c r="Y22" s="1">
        <v>4.4999999999999998E-2</v>
      </c>
      <c r="Z22" s="1">
        <v>7.8E-2</v>
      </c>
      <c r="AA22" s="1">
        <v>0.29299999999999998</v>
      </c>
      <c r="AB22" s="1">
        <v>0.35799999999999998</v>
      </c>
      <c r="AC22" s="1">
        <v>9.1999999999999998E-2</v>
      </c>
      <c r="AD22" s="1">
        <v>0.13600000000000001</v>
      </c>
    </row>
    <row r="23" spans="1:30" x14ac:dyDescent="0.25">
      <c r="A23" t="str">
        <f>B23&amp;VLOOKUP(C23, Lookups!$E$2:$F$8,2,FALSE)</f>
        <v>RectumAll Routes</v>
      </c>
      <c r="B23" t="s">
        <v>18</v>
      </c>
      <c r="C23" t="s">
        <v>34</v>
      </c>
      <c r="D23" s="1">
        <v>0.28599506843440659</v>
      </c>
      <c r="E23" s="1">
        <v>5.1888646678340422E-2</v>
      </c>
      <c r="F23" s="1">
        <v>7.2829932458992955E-2</v>
      </c>
      <c r="G23" s="1">
        <v>0.10545688453704034</v>
      </c>
      <c r="H23" s="1">
        <v>6.9649430011078151E-2</v>
      </c>
      <c r="I23" s="1">
        <v>8.4801486616874533E-2</v>
      </c>
      <c r="J23" s="1">
        <v>0.15563020405246042</v>
      </c>
      <c r="K23" s="1">
        <v>0.17374834721080656</v>
      </c>
      <c r="L23" s="1">
        <v>1</v>
      </c>
      <c r="M23" s="2">
        <v>27983</v>
      </c>
      <c r="O23" s="1">
        <v>0.28100000000000003</v>
      </c>
      <c r="P23" s="1">
        <v>0.29099999999999998</v>
      </c>
      <c r="Q23" s="1">
        <v>4.9000000000000002E-2</v>
      </c>
      <c r="R23" s="1">
        <v>5.5E-2</v>
      </c>
      <c r="S23" s="1">
        <v>7.0000000000000007E-2</v>
      </c>
      <c r="T23" s="1">
        <v>7.5999999999999998E-2</v>
      </c>
      <c r="U23" s="1">
        <v>0.10199999999999999</v>
      </c>
      <c r="V23" s="1">
        <v>0.109</v>
      </c>
      <c r="W23" s="1">
        <v>6.7000000000000004E-2</v>
      </c>
      <c r="X23" s="1">
        <v>7.2999999999999995E-2</v>
      </c>
      <c r="Y23" s="1">
        <v>8.2000000000000003E-2</v>
      </c>
      <c r="Z23" s="1">
        <v>8.7999999999999995E-2</v>
      </c>
      <c r="AA23" s="1">
        <v>0.151</v>
      </c>
      <c r="AB23" s="1">
        <v>0.16</v>
      </c>
      <c r="AC23" s="1">
        <v>0.16900000000000001</v>
      </c>
      <c r="AD23" s="1">
        <v>0.17799999999999999</v>
      </c>
    </row>
    <row r="24" spans="1:30" x14ac:dyDescent="0.25">
      <c r="A24" t="str">
        <f>B24&amp;VLOOKUP(C24, Lookups!$E$2:$F$8,2,FALSE)</f>
        <v>NSCLCScreen detected</v>
      </c>
      <c r="B24" t="s">
        <v>19</v>
      </c>
      <c r="C24" t="s">
        <v>30</v>
      </c>
      <c r="D24" s="1" t="s">
        <v>137</v>
      </c>
      <c r="E24" s="1" t="s">
        <v>137</v>
      </c>
      <c r="F24" s="1" t="s">
        <v>137</v>
      </c>
      <c r="G24" s="1" t="s">
        <v>137</v>
      </c>
      <c r="H24" s="1" t="s">
        <v>137</v>
      </c>
      <c r="I24" s="1" t="s">
        <v>137</v>
      </c>
      <c r="J24" s="1" t="s">
        <v>137</v>
      </c>
      <c r="K24" s="1" t="s">
        <v>137</v>
      </c>
      <c r="L24" s="1">
        <v>0</v>
      </c>
      <c r="M24" s="2">
        <v>0</v>
      </c>
      <c r="O24" s="1"/>
      <c r="P24" s="1"/>
      <c r="Q24" s="1"/>
      <c r="R24" s="1"/>
      <c r="S24" s="1"/>
      <c r="T24" s="1"/>
      <c r="U24" s="1"/>
      <c r="V24" s="1"/>
      <c r="W24" s="1"/>
      <c r="X24" s="1"/>
      <c r="Y24" s="1"/>
      <c r="Z24" s="1"/>
      <c r="AA24" s="1"/>
      <c r="AB24" s="1"/>
      <c r="AC24" s="1"/>
      <c r="AD24" s="1"/>
    </row>
    <row r="25" spans="1:30" x14ac:dyDescent="0.25">
      <c r="A25" t="str">
        <f>B25&amp;VLOOKUP(C25, Lookups!$E$2:$F$8,2,FALSE)</f>
        <v>NSCLCTwo Week Wait</v>
      </c>
      <c r="B25" t="s">
        <v>19</v>
      </c>
      <c r="C25" t="s">
        <v>31</v>
      </c>
      <c r="D25" s="1">
        <v>0.13945378459731297</v>
      </c>
      <c r="E25" s="1">
        <v>0.19022098230673226</v>
      </c>
      <c r="F25" s="1">
        <v>0.18442111445562001</v>
      </c>
      <c r="G25" s="1">
        <v>6.1155568607297553E-2</v>
      </c>
      <c r="H25" s="1">
        <v>7.3783128991997647E-3</v>
      </c>
      <c r="I25" s="1">
        <v>0.16804933558475882</v>
      </c>
      <c r="J25" s="1">
        <v>0.24388811394170765</v>
      </c>
      <c r="K25" s="1">
        <v>5.4327876073709709E-3</v>
      </c>
      <c r="L25" s="1">
        <v>0.99999999999999989</v>
      </c>
      <c r="M25" s="2">
        <v>27242</v>
      </c>
      <c r="O25" s="1">
        <v>0.13500000000000001</v>
      </c>
      <c r="P25" s="1">
        <v>0.14399999999999999</v>
      </c>
      <c r="Q25" s="1">
        <v>0.186</v>
      </c>
      <c r="R25" s="1">
        <v>0.19500000000000001</v>
      </c>
      <c r="S25" s="1">
        <v>0.18</v>
      </c>
      <c r="T25" s="1">
        <v>0.189</v>
      </c>
      <c r="U25" s="1">
        <v>5.8000000000000003E-2</v>
      </c>
      <c r="V25" s="1">
        <v>6.4000000000000001E-2</v>
      </c>
      <c r="W25" s="1">
        <v>6.0000000000000001E-3</v>
      </c>
      <c r="X25" s="1">
        <v>8.0000000000000002E-3</v>
      </c>
      <c r="Y25" s="1">
        <v>0.16400000000000001</v>
      </c>
      <c r="Z25" s="1">
        <v>0.17299999999999999</v>
      </c>
      <c r="AA25" s="1">
        <v>0.23899999999999999</v>
      </c>
      <c r="AB25" s="1">
        <v>0.249</v>
      </c>
      <c r="AC25" s="1">
        <v>5.0000000000000001E-3</v>
      </c>
      <c r="AD25" s="1">
        <v>6.0000000000000001E-3</v>
      </c>
    </row>
    <row r="26" spans="1:30" x14ac:dyDescent="0.25">
      <c r="A26" t="str">
        <f>B26&amp;VLOOKUP(C26, Lookups!$E$2:$F$8,2,FALSE)</f>
        <v>NSCLCGP referral</v>
      </c>
      <c r="B26" t="s">
        <v>19</v>
      </c>
      <c r="C26" t="s">
        <v>2</v>
      </c>
      <c r="D26" s="1">
        <v>0.17177252329996548</v>
      </c>
      <c r="E26" s="1">
        <v>0.11844149119779082</v>
      </c>
      <c r="F26" s="1">
        <v>0.18967897825336555</v>
      </c>
      <c r="G26" s="1">
        <v>4.0990680013807387E-2</v>
      </c>
      <c r="H26" s="1">
        <v>6.5153607179841214E-3</v>
      </c>
      <c r="I26" s="1">
        <v>9.4882637210907839E-2</v>
      </c>
      <c r="J26" s="1">
        <v>0.37318778046254747</v>
      </c>
      <c r="K26" s="1">
        <v>4.5305488436313424E-3</v>
      </c>
      <c r="L26" s="1">
        <v>1</v>
      </c>
      <c r="M26" s="2">
        <v>23176</v>
      </c>
      <c r="O26" s="1">
        <v>0.16700000000000001</v>
      </c>
      <c r="P26" s="1">
        <v>0.17699999999999999</v>
      </c>
      <c r="Q26" s="1">
        <v>0.114</v>
      </c>
      <c r="R26" s="1">
        <v>0.123</v>
      </c>
      <c r="S26" s="1">
        <v>0.185</v>
      </c>
      <c r="T26" s="1">
        <v>0.19500000000000001</v>
      </c>
      <c r="U26" s="1">
        <v>3.9E-2</v>
      </c>
      <c r="V26" s="1">
        <v>4.3999999999999997E-2</v>
      </c>
      <c r="W26" s="1">
        <v>6.0000000000000001E-3</v>
      </c>
      <c r="X26" s="1">
        <v>8.0000000000000002E-3</v>
      </c>
      <c r="Y26" s="1">
        <v>9.0999999999999998E-2</v>
      </c>
      <c r="Z26" s="1">
        <v>9.9000000000000005E-2</v>
      </c>
      <c r="AA26" s="1">
        <v>0.36699999999999999</v>
      </c>
      <c r="AB26" s="1">
        <v>0.379</v>
      </c>
      <c r="AC26" s="1">
        <v>4.0000000000000001E-3</v>
      </c>
      <c r="AD26" s="1">
        <v>5.0000000000000001E-3</v>
      </c>
    </row>
    <row r="27" spans="1:30" x14ac:dyDescent="0.25">
      <c r="A27" t="str">
        <f>B27&amp;VLOOKUP(C27, Lookups!$E$2:$F$8,2,FALSE)</f>
        <v>NSCLCIP &amp; OP</v>
      </c>
      <c r="B27" t="s">
        <v>19</v>
      </c>
      <c r="C27" t="s">
        <v>32</v>
      </c>
      <c r="D27" s="1">
        <v>0.22477168088157598</v>
      </c>
      <c r="E27" s="1">
        <v>0.11978262510378142</v>
      </c>
      <c r="F27" s="1">
        <v>0.17246584647897956</v>
      </c>
      <c r="G27" s="1">
        <v>4.6494075024530152E-2</v>
      </c>
      <c r="H27" s="1">
        <v>8.151558608196845E-3</v>
      </c>
      <c r="I27" s="1">
        <v>0.10732885500792512</v>
      </c>
      <c r="J27" s="1">
        <v>0.3163257604347498</v>
      </c>
      <c r="K27" s="1">
        <v>4.6795984602611522E-3</v>
      </c>
      <c r="L27" s="1">
        <v>1</v>
      </c>
      <c r="M27" s="2">
        <v>13249</v>
      </c>
      <c r="O27" s="1">
        <v>0.218</v>
      </c>
      <c r="P27" s="1">
        <v>0.23200000000000001</v>
      </c>
      <c r="Q27" s="1">
        <v>0.114</v>
      </c>
      <c r="R27" s="1">
        <v>0.125</v>
      </c>
      <c r="S27" s="1">
        <v>0.16600000000000001</v>
      </c>
      <c r="T27" s="1">
        <v>0.17899999999999999</v>
      </c>
      <c r="U27" s="1">
        <v>4.2999999999999997E-2</v>
      </c>
      <c r="V27" s="1">
        <v>0.05</v>
      </c>
      <c r="W27" s="1">
        <v>7.0000000000000001E-3</v>
      </c>
      <c r="X27" s="1">
        <v>0.01</v>
      </c>
      <c r="Y27" s="1">
        <v>0.10199999999999999</v>
      </c>
      <c r="Z27" s="1">
        <v>0.113</v>
      </c>
      <c r="AA27" s="1">
        <v>0.308</v>
      </c>
      <c r="AB27" s="1">
        <v>0.32400000000000001</v>
      </c>
      <c r="AC27" s="1">
        <v>4.0000000000000001E-3</v>
      </c>
      <c r="AD27" s="1">
        <v>6.0000000000000001E-3</v>
      </c>
    </row>
    <row r="28" spans="1:30" x14ac:dyDescent="0.25">
      <c r="A28" t="str">
        <f>B28&amp;VLOOKUP(C28, Lookups!$E$2:$F$8,2,FALSE)</f>
        <v>NSCLCEmergency presentation</v>
      </c>
      <c r="B28" t="s">
        <v>19</v>
      </c>
      <c r="C28" t="s">
        <v>33</v>
      </c>
      <c r="D28" s="1">
        <v>2.7223073143947056E-2</v>
      </c>
      <c r="E28" s="1">
        <v>6.545675230471347E-2</v>
      </c>
      <c r="F28" s="1">
        <v>0.13874519550328007</v>
      </c>
      <c r="G28" s="1">
        <v>7.5715978383377163E-3</v>
      </c>
      <c r="H28" s="1">
        <v>1.7917521602173222E-3</v>
      </c>
      <c r="I28" s="1">
        <v>4.7683726844493249E-2</v>
      </c>
      <c r="J28" s="1">
        <v>0.71037193306938706</v>
      </c>
      <c r="K28" s="1">
        <v>1.1559691356240788E-3</v>
      </c>
      <c r="L28" s="1">
        <v>1</v>
      </c>
      <c r="M28" s="2">
        <v>34603</v>
      </c>
      <c r="O28" s="1">
        <v>2.5999999999999999E-2</v>
      </c>
      <c r="P28" s="1">
        <v>2.9000000000000001E-2</v>
      </c>
      <c r="Q28" s="1">
        <v>6.3E-2</v>
      </c>
      <c r="R28" s="1">
        <v>6.8000000000000005E-2</v>
      </c>
      <c r="S28" s="1">
        <v>0.13500000000000001</v>
      </c>
      <c r="T28" s="1">
        <v>0.14199999999999999</v>
      </c>
      <c r="U28" s="1">
        <v>7.0000000000000001E-3</v>
      </c>
      <c r="V28" s="1">
        <v>8.9999999999999993E-3</v>
      </c>
      <c r="W28" s="1">
        <v>1E-3</v>
      </c>
      <c r="X28" s="1">
        <v>2E-3</v>
      </c>
      <c r="Y28" s="1">
        <v>4.4999999999999998E-2</v>
      </c>
      <c r="Z28" s="1">
        <v>0.05</v>
      </c>
      <c r="AA28" s="1">
        <v>0.70599999999999996</v>
      </c>
      <c r="AB28" s="1">
        <v>0.71499999999999997</v>
      </c>
      <c r="AC28" s="1">
        <v>1E-3</v>
      </c>
      <c r="AD28" s="1">
        <v>2E-3</v>
      </c>
    </row>
    <row r="29" spans="1:30" x14ac:dyDescent="0.25">
      <c r="A29" t="str">
        <f>B29&amp;VLOOKUP(C29, Lookups!$E$2:$F$8,2,FALSE)</f>
        <v>NSCLCUnknown</v>
      </c>
      <c r="B29" t="s">
        <v>19</v>
      </c>
      <c r="C29" t="s">
        <v>4</v>
      </c>
      <c r="D29" s="1">
        <v>5.1963506545021819E-2</v>
      </c>
      <c r="E29" s="1">
        <v>7.5763585878619602E-2</v>
      </c>
      <c r="F29" s="1">
        <v>9.4010313367711221E-2</v>
      </c>
      <c r="G29" s="1">
        <v>1.3090043633478779E-2</v>
      </c>
      <c r="H29" s="1">
        <v>3.5700119000396666E-3</v>
      </c>
      <c r="I29" s="1">
        <v>4.2046806822689409E-2</v>
      </c>
      <c r="J29" s="1">
        <v>0.71836572788575959</v>
      </c>
      <c r="K29" s="1">
        <v>1.1900039666798889E-3</v>
      </c>
      <c r="L29" s="1">
        <v>1</v>
      </c>
      <c r="M29" s="2">
        <v>2521</v>
      </c>
      <c r="O29" s="1">
        <v>4.3999999999999997E-2</v>
      </c>
      <c r="P29" s="1">
        <v>6.0999999999999999E-2</v>
      </c>
      <c r="Q29" s="1">
        <v>6.6000000000000003E-2</v>
      </c>
      <c r="R29" s="1">
        <v>8.6999999999999994E-2</v>
      </c>
      <c r="S29" s="1">
        <v>8.3000000000000004E-2</v>
      </c>
      <c r="T29" s="1">
        <v>0.106</v>
      </c>
      <c r="U29" s="1">
        <v>8.9999999999999993E-3</v>
      </c>
      <c r="V29" s="1">
        <v>1.7999999999999999E-2</v>
      </c>
      <c r="W29" s="1">
        <v>2E-3</v>
      </c>
      <c r="X29" s="1">
        <v>7.0000000000000001E-3</v>
      </c>
      <c r="Y29" s="1">
        <v>3.5000000000000003E-2</v>
      </c>
      <c r="Z29" s="1">
        <v>5.0999999999999997E-2</v>
      </c>
      <c r="AA29" s="1">
        <v>0.7</v>
      </c>
      <c r="AB29" s="1">
        <v>0.73599999999999999</v>
      </c>
      <c r="AC29" s="1">
        <v>0</v>
      </c>
      <c r="AD29" s="1">
        <v>3.0000000000000001E-3</v>
      </c>
    </row>
    <row r="30" spans="1:30" x14ac:dyDescent="0.25">
      <c r="A30" t="str">
        <f>B30&amp;VLOOKUP(C30, Lookups!$E$2:$F$8,2,FALSE)</f>
        <v>NSCLCAll Routes</v>
      </c>
      <c r="B30" t="s">
        <v>19</v>
      </c>
      <c r="C30" t="s">
        <v>34</v>
      </c>
      <c r="D30" s="1">
        <v>0.11738151223819587</v>
      </c>
      <c r="E30" s="1">
        <v>0.11876060362532369</v>
      </c>
      <c r="F30" s="1">
        <v>0.1661160222638926</v>
      </c>
      <c r="G30" s="1">
        <v>3.4993203758272071E-2</v>
      </c>
      <c r="H30" s="1">
        <v>5.2683275292436825E-3</v>
      </c>
      <c r="I30" s="1">
        <v>9.876873927235566E-2</v>
      </c>
      <c r="J30" s="1">
        <v>0.45515968687680447</v>
      </c>
      <c r="K30" s="1">
        <v>3.5519044359119366E-3</v>
      </c>
      <c r="L30" s="1">
        <v>0.99999999999999989</v>
      </c>
      <c r="M30" s="2">
        <v>100791</v>
      </c>
      <c r="O30" s="1">
        <v>0.115</v>
      </c>
      <c r="P30" s="1">
        <v>0.11899999999999999</v>
      </c>
      <c r="Q30" s="1">
        <v>0.11700000000000001</v>
      </c>
      <c r="R30" s="1">
        <v>0.121</v>
      </c>
      <c r="S30" s="1">
        <v>0.16400000000000001</v>
      </c>
      <c r="T30" s="1">
        <v>0.16800000000000001</v>
      </c>
      <c r="U30" s="1">
        <v>3.4000000000000002E-2</v>
      </c>
      <c r="V30" s="1">
        <v>3.5999999999999997E-2</v>
      </c>
      <c r="W30" s="1">
        <v>5.0000000000000001E-3</v>
      </c>
      <c r="X30" s="1">
        <v>6.0000000000000001E-3</v>
      </c>
      <c r="Y30" s="1">
        <v>9.7000000000000003E-2</v>
      </c>
      <c r="Z30" s="1">
        <v>0.10100000000000001</v>
      </c>
      <c r="AA30" s="1">
        <v>0.45200000000000001</v>
      </c>
      <c r="AB30" s="1">
        <v>0.45800000000000002</v>
      </c>
      <c r="AC30" s="1">
        <v>3.0000000000000001E-3</v>
      </c>
      <c r="AD30" s="1">
        <v>4.0000000000000001E-3</v>
      </c>
    </row>
    <row r="31" spans="1:30" x14ac:dyDescent="0.25">
      <c r="A31" t="str">
        <f>B31&amp;VLOOKUP(C31, Lookups!$E$2:$F$8,2,FALSE)</f>
        <v>SCLCScreen detected</v>
      </c>
      <c r="B31" t="s">
        <v>20</v>
      </c>
      <c r="C31" t="s">
        <v>30</v>
      </c>
      <c r="D31" s="1" t="s">
        <v>137</v>
      </c>
      <c r="E31" s="1" t="s">
        <v>137</v>
      </c>
      <c r="F31" s="1" t="s">
        <v>137</v>
      </c>
      <c r="G31" s="1" t="s">
        <v>137</v>
      </c>
      <c r="H31" s="1" t="s">
        <v>137</v>
      </c>
      <c r="I31" s="1" t="s">
        <v>137</v>
      </c>
      <c r="J31" s="1" t="s">
        <v>137</v>
      </c>
      <c r="K31" s="1" t="s">
        <v>137</v>
      </c>
      <c r="L31" s="1">
        <v>0</v>
      </c>
      <c r="M31" s="2">
        <v>0</v>
      </c>
      <c r="O31" s="1"/>
      <c r="P31" s="1"/>
      <c r="Q31" s="1"/>
      <c r="R31" s="1"/>
      <c r="S31" s="1"/>
      <c r="T31" s="1"/>
      <c r="U31" s="1"/>
      <c r="V31" s="1"/>
      <c r="W31" s="1"/>
      <c r="X31" s="1"/>
      <c r="Y31" s="1"/>
      <c r="Z31" s="1"/>
      <c r="AA31" s="1"/>
      <c r="AB31" s="1"/>
      <c r="AC31" s="1"/>
      <c r="AD31" s="1"/>
    </row>
    <row r="32" spans="1:30" x14ac:dyDescent="0.25">
      <c r="A32" t="str">
        <f>B32&amp;VLOOKUP(C32, Lookups!$E$2:$F$8,2,FALSE)</f>
        <v>SCLCTwo Week Wait</v>
      </c>
      <c r="B32" t="s">
        <v>20</v>
      </c>
      <c r="C32" t="s">
        <v>31</v>
      </c>
      <c r="D32" s="1">
        <v>6.0702032198469251E-3</v>
      </c>
      <c r="E32" s="1">
        <v>0.35391923990498814</v>
      </c>
      <c r="F32" s="1">
        <v>4.1435735022433362E-2</v>
      </c>
      <c r="G32" s="1">
        <v>1.4515703351807865E-2</v>
      </c>
      <c r="H32" s="1">
        <v>7.9176563737133805E-4</v>
      </c>
      <c r="I32" s="1">
        <v>0.48244919503826866</v>
      </c>
      <c r="J32" s="1">
        <v>9.6331485880179465E-2</v>
      </c>
      <c r="K32" s="1">
        <v>4.4866719451042494E-3</v>
      </c>
      <c r="L32" s="1">
        <v>0.99999999999999989</v>
      </c>
      <c r="M32" s="2">
        <v>3789</v>
      </c>
      <c r="O32" s="1">
        <v>4.0000000000000001E-3</v>
      </c>
      <c r="P32" s="1">
        <v>8.9999999999999993E-3</v>
      </c>
      <c r="Q32" s="1">
        <v>0.33900000000000002</v>
      </c>
      <c r="R32" s="1">
        <v>0.36899999999999999</v>
      </c>
      <c r="S32" s="1">
        <v>3.5999999999999997E-2</v>
      </c>
      <c r="T32" s="1">
        <v>4.8000000000000001E-2</v>
      </c>
      <c r="U32" s="1">
        <v>1.0999999999999999E-2</v>
      </c>
      <c r="V32" s="1">
        <v>1.9E-2</v>
      </c>
      <c r="W32" s="1">
        <v>0</v>
      </c>
      <c r="X32" s="1">
        <v>2E-3</v>
      </c>
      <c r="Y32" s="1">
        <v>0.46700000000000003</v>
      </c>
      <c r="Z32" s="1">
        <v>0.498</v>
      </c>
      <c r="AA32" s="1">
        <v>8.6999999999999994E-2</v>
      </c>
      <c r="AB32" s="1">
        <v>0.106</v>
      </c>
      <c r="AC32" s="1">
        <v>3.0000000000000001E-3</v>
      </c>
      <c r="AD32" s="1">
        <v>7.0000000000000001E-3</v>
      </c>
    </row>
    <row r="33" spans="1:30" x14ac:dyDescent="0.25">
      <c r="A33" t="str">
        <f>B33&amp;VLOOKUP(C33, Lookups!$E$2:$F$8,2,FALSE)</f>
        <v>SCLCGP referral</v>
      </c>
      <c r="B33" t="s">
        <v>20</v>
      </c>
      <c r="C33" t="s">
        <v>2</v>
      </c>
      <c r="D33" s="1">
        <v>5.7854917668001783E-3</v>
      </c>
      <c r="E33" s="1">
        <v>0.29105473965287049</v>
      </c>
      <c r="F33" s="1">
        <v>6.2750333778371165E-2</v>
      </c>
      <c r="G33" s="1">
        <v>1.602136181575434E-2</v>
      </c>
      <c r="H33" s="1">
        <v>4.450378282153983E-4</v>
      </c>
      <c r="I33" s="1">
        <v>0.36537605696484199</v>
      </c>
      <c r="J33" s="1">
        <v>0.25411659991099245</v>
      </c>
      <c r="K33" s="1">
        <v>4.450378282153983E-3</v>
      </c>
      <c r="L33" s="1">
        <v>1</v>
      </c>
      <c r="M33" s="2">
        <v>2247</v>
      </c>
      <c r="O33" s="1">
        <v>3.0000000000000001E-3</v>
      </c>
      <c r="P33" s="1">
        <v>0.01</v>
      </c>
      <c r="Q33" s="1">
        <v>0.27300000000000002</v>
      </c>
      <c r="R33" s="1">
        <v>0.31</v>
      </c>
      <c r="S33" s="1">
        <v>5.2999999999999999E-2</v>
      </c>
      <c r="T33" s="1">
        <v>7.3999999999999996E-2</v>
      </c>
      <c r="U33" s="1">
        <v>1.2E-2</v>
      </c>
      <c r="V33" s="1">
        <v>2.1999999999999999E-2</v>
      </c>
      <c r="W33" s="1">
        <v>0</v>
      </c>
      <c r="X33" s="1">
        <v>3.0000000000000001E-3</v>
      </c>
      <c r="Y33" s="1">
        <v>0.34599999999999997</v>
      </c>
      <c r="Z33" s="1">
        <v>0.38600000000000001</v>
      </c>
      <c r="AA33" s="1">
        <v>0.23699999999999999</v>
      </c>
      <c r="AB33" s="1">
        <v>0.27300000000000002</v>
      </c>
      <c r="AC33" s="1">
        <v>2E-3</v>
      </c>
      <c r="AD33" s="1">
        <v>8.0000000000000002E-3</v>
      </c>
    </row>
    <row r="34" spans="1:30" x14ac:dyDescent="0.25">
      <c r="A34" t="str">
        <f>B34&amp;VLOOKUP(C34, Lookups!$E$2:$F$8,2,FALSE)</f>
        <v>SCLCIP &amp; OP</v>
      </c>
      <c r="B34" t="s">
        <v>20</v>
      </c>
      <c r="C34" t="s">
        <v>32</v>
      </c>
      <c r="D34" s="1">
        <v>1.3779527559055118E-2</v>
      </c>
      <c r="E34" s="1">
        <v>0.29658792650918636</v>
      </c>
      <c r="F34" s="1">
        <v>5.905511811023622E-2</v>
      </c>
      <c r="G34" s="1">
        <v>2.0341207349081365E-2</v>
      </c>
      <c r="H34" s="1">
        <v>6.5616797900262466E-4</v>
      </c>
      <c r="I34" s="1">
        <v>0.39238845144356954</v>
      </c>
      <c r="J34" s="1">
        <v>0.20931758530183728</v>
      </c>
      <c r="K34" s="1">
        <v>7.874015748031496E-3</v>
      </c>
      <c r="L34" s="1">
        <v>1</v>
      </c>
      <c r="M34" s="2">
        <v>1524</v>
      </c>
      <c r="O34" s="1">
        <v>8.9999999999999993E-3</v>
      </c>
      <c r="P34" s="1">
        <v>2.1000000000000001E-2</v>
      </c>
      <c r="Q34" s="1">
        <v>0.27400000000000002</v>
      </c>
      <c r="R34" s="1">
        <v>0.32</v>
      </c>
      <c r="S34" s="1">
        <v>4.8000000000000001E-2</v>
      </c>
      <c r="T34" s="1">
        <v>7.1999999999999995E-2</v>
      </c>
      <c r="U34" s="1">
        <v>1.4E-2</v>
      </c>
      <c r="V34" s="1">
        <v>2.9000000000000001E-2</v>
      </c>
      <c r="W34" s="1">
        <v>0</v>
      </c>
      <c r="X34" s="1">
        <v>4.0000000000000001E-3</v>
      </c>
      <c r="Y34" s="1">
        <v>0.36799999999999999</v>
      </c>
      <c r="Z34" s="1">
        <v>0.41699999999999998</v>
      </c>
      <c r="AA34" s="1">
        <v>0.19</v>
      </c>
      <c r="AB34" s="1">
        <v>0.23</v>
      </c>
      <c r="AC34" s="1">
        <v>5.0000000000000001E-3</v>
      </c>
      <c r="AD34" s="1">
        <v>1.4E-2</v>
      </c>
    </row>
    <row r="35" spans="1:30" x14ac:dyDescent="0.25">
      <c r="A35" t="str">
        <f>B35&amp;VLOOKUP(C35, Lookups!$E$2:$F$8,2,FALSE)</f>
        <v>SCLCEmergency presentation</v>
      </c>
      <c r="B35" t="s">
        <v>20</v>
      </c>
      <c r="C35" t="s">
        <v>33</v>
      </c>
      <c r="D35" s="1">
        <v>2.012072434607646E-3</v>
      </c>
      <c r="E35" s="1">
        <v>0.26961770623742454</v>
      </c>
      <c r="F35" s="1">
        <v>6.1368209255533199E-2</v>
      </c>
      <c r="G35" s="1">
        <v>2.2635814889336017E-3</v>
      </c>
      <c r="H35" s="1">
        <v>2.5150905432595576E-4</v>
      </c>
      <c r="I35" s="1">
        <v>0.23868209255533199</v>
      </c>
      <c r="J35" s="1">
        <v>0.42505030181086517</v>
      </c>
      <c r="K35" s="1">
        <v>7.5452716297786716E-4</v>
      </c>
      <c r="L35" s="1">
        <v>1</v>
      </c>
      <c r="M35" s="2">
        <v>3976</v>
      </c>
      <c r="O35" s="1">
        <v>1E-3</v>
      </c>
      <c r="P35" s="1">
        <v>4.0000000000000001E-3</v>
      </c>
      <c r="Q35" s="1">
        <v>0.25600000000000001</v>
      </c>
      <c r="R35" s="1">
        <v>0.28399999999999997</v>
      </c>
      <c r="S35" s="1">
        <v>5.3999999999999999E-2</v>
      </c>
      <c r="T35" s="1">
        <v>6.9000000000000006E-2</v>
      </c>
      <c r="U35" s="1">
        <v>1E-3</v>
      </c>
      <c r="V35" s="1">
        <v>4.0000000000000001E-3</v>
      </c>
      <c r="W35" s="1">
        <v>0</v>
      </c>
      <c r="X35" s="1">
        <v>1E-3</v>
      </c>
      <c r="Y35" s="1">
        <v>0.22600000000000001</v>
      </c>
      <c r="Z35" s="1">
        <v>0.252</v>
      </c>
      <c r="AA35" s="1">
        <v>0.41</v>
      </c>
      <c r="AB35" s="1">
        <v>0.44</v>
      </c>
      <c r="AC35" s="1">
        <v>0</v>
      </c>
      <c r="AD35" s="1">
        <v>2E-3</v>
      </c>
    </row>
    <row r="36" spans="1:30" x14ac:dyDescent="0.25">
      <c r="A36" t="str">
        <f>B36&amp;VLOOKUP(C36, Lookups!$E$2:$F$8,2,FALSE)</f>
        <v>SCLCUnknown</v>
      </c>
      <c r="B36" t="s">
        <v>20</v>
      </c>
      <c r="C36" t="s">
        <v>4</v>
      </c>
      <c r="D36" s="1">
        <v>2.0408163265306121E-2</v>
      </c>
      <c r="E36" s="1">
        <v>0.19727891156462585</v>
      </c>
      <c r="F36" s="1">
        <v>6.8027210884353748E-2</v>
      </c>
      <c r="G36" s="1">
        <v>6.8027210884353739E-3</v>
      </c>
      <c r="H36" s="1" t="s">
        <v>137</v>
      </c>
      <c r="I36" s="1">
        <v>0.18367346938775511</v>
      </c>
      <c r="J36" s="1">
        <v>0.52380952380952384</v>
      </c>
      <c r="K36" s="1" t="s">
        <v>137</v>
      </c>
      <c r="L36" s="1">
        <v>1</v>
      </c>
      <c r="M36" s="2">
        <v>147</v>
      </c>
      <c r="O36" s="1">
        <v>7.0000000000000001E-3</v>
      </c>
      <c r="P36" s="1">
        <v>5.8000000000000003E-2</v>
      </c>
      <c r="Q36" s="1">
        <v>0.14099999999999999</v>
      </c>
      <c r="R36" s="1">
        <v>0.26900000000000002</v>
      </c>
      <c r="S36" s="1">
        <v>3.6999999999999998E-2</v>
      </c>
      <c r="T36" s="1">
        <v>0.121</v>
      </c>
      <c r="U36" s="1">
        <v>1E-3</v>
      </c>
      <c r="V36" s="1">
        <v>3.7999999999999999E-2</v>
      </c>
      <c r="W36" s="1"/>
      <c r="X36" s="1"/>
      <c r="Y36" s="1">
        <v>0.129</v>
      </c>
      <c r="Z36" s="1">
        <v>0.254</v>
      </c>
      <c r="AA36" s="1">
        <v>0.443</v>
      </c>
      <c r="AB36" s="1">
        <v>0.60299999999999998</v>
      </c>
      <c r="AC36" s="1"/>
      <c r="AD36" s="1"/>
    </row>
    <row r="37" spans="1:30" x14ac:dyDescent="0.25">
      <c r="A37" t="str">
        <f>B37&amp;VLOOKUP(C37, Lookups!$E$2:$F$8,2,FALSE)</f>
        <v>SCLCAll Routes</v>
      </c>
      <c r="B37" t="s">
        <v>20</v>
      </c>
      <c r="C37" t="s">
        <v>34</v>
      </c>
      <c r="D37" s="1">
        <v>5.820422836600188E-3</v>
      </c>
      <c r="E37" s="1">
        <v>0.30368912094496275</v>
      </c>
      <c r="F37" s="1">
        <v>5.4951639133784133E-2</v>
      </c>
      <c r="G37" s="1">
        <v>1.1298467859282719E-2</v>
      </c>
      <c r="H37" s="1">
        <v>5.1356672087648722E-4</v>
      </c>
      <c r="I37" s="1">
        <v>0.36146537704356757</v>
      </c>
      <c r="J37" s="1">
        <v>0.2586664384147907</v>
      </c>
      <c r="K37" s="1">
        <v>3.5949670461354103E-3</v>
      </c>
      <c r="L37" s="1">
        <v>0.99999999999999989</v>
      </c>
      <c r="M37" s="2">
        <v>11683</v>
      </c>
      <c r="O37" s="1">
        <v>5.0000000000000001E-3</v>
      </c>
      <c r="P37" s="1">
        <v>7.0000000000000001E-3</v>
      </c>
      <c r="Q37" s="1">
        <v>0.29499999999999998</v>
      </c>
      <c r="R37" s="1">
        <v>0.312</v>
      </c>
      <c r="S37" s="1">
        <v>5.0999999999999997E-2</v>
      </c>
      <c r="T37" s="1">
        <v>5.8999999999999997E-2</v>
      </c>
      <c r="U37" s="1">
        <v>0.01</v>
      </c>
      <c r="V37" s="1">
        <v>1.2999999999999999E-2</v>
      </c>
      <c r="W37" s="1">
        <v>0</v>
      </c>
      <c r="X37" s="1">
        <v>1E-3</v>
      </c>
      <c r="Y37" s="1">
        <v>0.35299999999999998</v>
      </c>
      <c r="Z37" s="1">
        <v>0.37</v>
      </c>
      <c r="AA37" s="1">
        <v>0.251</v>
      </c>
      <c r="AB37" s="1">
        <v>0.26700000000000002</v>
      </c>
      <c r="AC37" s="1">
        <v>3.0000000000000001E-3</v>
      </c>
      <c r="AD37" s="1">
        <v>5.0000000000000001E-3</v>
      </c>
    </row>
    <row r="38" spans="1:30" x14ac:dyDescent="0.25">
      <c r="A38" t="str">
        <f>B38&amp;VLOOKUP(C38, Lookups!$E$2:$F$8,2,FALSE)</f>
        <v>ProstateScreen detected</v>
      </c>
      <c r="B38" t="s">
        <v>21</v>
      </c>
      <c r="C38" t="s">
        <v>30</v>
      </c>
      <c r="D38" s="1" t="s">
        <v>137</v>
      </c>
      <c r="E38" s="1" t="s">
        <v>137</v>
      </c>
      <c r="F38" s="1" t="s">
        <v>137</v>
      </c>
      <c r="G38" s="1" t="s">
        <v>137</v>
      </c>
      <c r="H38" s="1" t="s">
        <v>137</v>
      </c>
      <c r="I38" s="1" t="s">
        <v>137</v>
      </c>
      <c r="J38" s="1" t="s">
        <v>137</v>
      </c>
      <c r="K38" s="1" t="s">
        <v>137</v>
      </c>
      <c r="L38" s="1">
        <v>0</v>
      </c>
      <c r="M38" s="2">
        <v>0</v>
      </c>
      <c r="O38" s="1"/>
      <c r="P38" s="1"/>
      <c r="Q38" s="1"/>
      <c r="R38" s="1"/>
      <c r="S38" s="1"/>
      <c r="T38" s="1"/>
      <c r="U38" s="1"/>
      <c r="V38" s="1"/>
      <c r="W38" s="1"/>
      <c r="X38" s="1"/>
      <c r="Y38" s="1"/>
      <c r="Z38" s="1"/>
      <c r="AA38" s="1"/>
      <c r="AB38" s="1"/>
      <c r="AC38" s="1"/>
      <c r="AD38" s="1"/>
    </row>
    <row r="39" spans="1:30" x14ac:dyDescent="0.25">
      <c r="A39" t="str">
        <f>B39&amp;VLOOKUP(C39, Lookups!$E$2:$F$8,2,FALSE)</f>
        <v>ProstateTwo Week Wait</v>
      </c>
      <c r="B39" t="s">
        <v>21</v>
      </c>
      <c r="C39" t="s">
        <v>31</v>
      </c>
      <c r="D39" s="1">
        <v>0.11049641703486429</v>
      </c>
      <c r="E39" s="1">
        <v>2.3224297330412504E-2</v>
      </c>
      <c r="F39" s="1">
        <v>0.32987413210559535</v>
      </c>
      <c r="G39" s="1">
        <v>7.2401886161957451E-4</v>
      </c>
      <c r="H39" s="1">
        <v>1.2401143578509634E-2</v>
      </c>
      <c r="I39" s="1">
        <v>1.8657409126350572E-2</v>
      </c>
      <c r="J39" s="1">
        <v>0.50441837151449898</v>
      </c>
      <c r="K39" s="1">
        <v>2.0421044814911076E-4</v>
      </c>
      <c r="L39" s="1">
        <v>1</v>
      </c>
      <c r="M39" s="2">
        <v>53866</v>
      </c>
      <c r="O39" s="1">
        <v>0.108</v>
      </c>
      <c r="P39" s="1">
        <v>0.113</v>
      </c>
      <c r="Q39" s="1">
        <v>2.1999999999999999E-2</v>
      </c>
      <c r="R39" s="1">
        <v>2.5000000000000001E-2</v>
      </c>
      <c r="S39" s="1">
        <v>0.32600000000000001</v>
      </c>
      <c r="T39" s="1">
        <v>0.33400000000000002</v>
      </c>
      <c r="U39" s="1">
        <v>1E-3</v>
      </c>
      <c r="V39" s="1">
        <v>1E-3</v>
      </c>
      <c r="W39" s="1">
        <v>1.2E-2</v>
      </c>
      <c r="X39" s="1">
        <v>1.2999999999999999E-2</v>
      </c>
      <c r="Y39" s="1">
        <v>1.7999999999999999E-2</v>
      </c>
      <c r="Z39" s="1">
        <v>0.02</v>
      </c>
      <c r="AA39" s="1">
        <v>0.5</v>
      </c>
      <c r="AB39" s="1">
        <v>0.50900000000000001</v>
      </c>
      <c r="AC39" s="1">
        <v>0</v>
      </c>
      <c r="AD39" s="1">
        <v>0</v>
      </c>
    </row>
    <row r="40" spans="1:30" x14ac:dyDescent="0.25">
      <c r="A40" t="str">
        <f>B40&amp;VLOOKUP(C40, Lookups!$E$2:$F$8,2,FALSE)</f>
        <v>ProstateGP referral</v>
      </c>
      <c r="B40" t="s">
        <v>21</v>
      </c>
      <c r="C40" t="s">
        <v>2</v>
      </c>
      <c r="D40" s="1">
        <v>0.19165648060120422</v>
      </c>
      <c r="E40" s="1">
        <v>1.1136764905609126E-2</v>
      </c>
      <c r="F40" s="1">
        <v>0.25476481506632259</v>
      </c>
      <c r="G40" s="1">
        <v>8.6015663905111145E-4</v>
      </c>
      <c r="H40" s="1">
        <v>1.3988863235094391E-2</v>
      </c>
      <c r="I40" s="1">
        <v>1.0027615555253746E-2</v>
      </c>
      <c r="J40" s="1">
        <v>0.51736158268821586</v>
      </c>
      <c r="K40" s="1">
        <v>2.0372130924894744E-4</v>
      </c>
      <c r="L40" s="1">
        <v>1</v>
      </c>
      <c r="M40" s="2">
        <v>44178</v>
      </c>
      <c r="O40" s="1">
        <v>0.188</v>
      </c>
      <c r="P40" s="1">
        <v>0.19500000000000001</v>
      </c>
      <c r="Q40" s="1">
        <v>0.01</v>
      </c>
      <c r="R40" s="1">
        <v>1.2E-2</v>
      </c>
      <c r="S40" s="1">
        <v>0.251</v>
      </c>
      <c r="T40" s="1">
        <v>0.25900000000000001</v>
      </c>
      <c r="U40" s="1">
        <v>1E-3</v>
      </c>
      <c r="V40" s="1">
        <v>1E-3</v>
      </c>
      <c r="W40" s="1">
        <v>1.2999999999999999E-2</v>
      </c>
      <c r="X40" s="1">
        <v>1.4999999999999999E-2</v>
      </c>
      <c r="Y40" s="1">
        <v>8.9999999999999993E-3</v>
      </c>
      <c r="Z40" s="1">
        <v>1.0999999999999999E-2</v>
      </c>
      <c r="AA40" s="1">
        <v>0.51300000000000001</v>
      </c>
      <c r="AB40" s="1">
        <v>0.52200000000000002</v>
      </c>
      <c r="AC40" s="1">
        <v>0</v>
      </c>
      <c r="AD40" s="1">
        <v>0</v>
      </c>
    </row>
    <row r="41" spans="1:30" x14ac:dyDescent="0.25">
      <c r="A41" t="str">
        <f>B41&amp;VLOOKUP(C41, Lookups!$E$2:$F$8,2,FALSE)</f>
        <v>ProstateIP &amp; OP</v>
      </c>
      <c r="B41" t="s">
        <v>21</v>
      </c>
      <c r="C41" t="s">
        <v>32</v>
      </c>
      <c r="D41" s="1">
        <v>0.18535620052770449</v>
      </c>
      <c r="E41" s="1">
        <v>1.5548435733132302E-2</v>
      </c>
      <c r="F41" s="1">
        <v>0.21051639653222767</v>
      </c>
      <c r="G41" s="1">
        <v>2.0731247644176403E-3</v>
      </c>
      <c r="H41" s="1">
        <v>9.5175273275537129E-3</v>
      </c>
      <c r="I41" s="1">
        <v>1.1873350923482849E-2</v>
      </c>
      <c r="J41" s="1">
        <v>0.56473803241613263</v>
      </c>
      <c r="K41" s="1">
        <v>3.769317753486619E-4</v>
      </c>
      <c r="L41" s="1">
        <v>1</v>
      </c>
      <c r="M41" s="2">
        <v>10612</v>
      </c>
      <c r="O41" s="1">
        <v>0.17799999999999999</v>
      </c>
      <c r="P41" s="1">
        <v>0.193</v>
      </c>
      <c r="Q41" s="1">
        <v>1.2999999999999999E-2</v>
      </c>
      <c r="R41" s="1">
        <v>1.7999999999999999E-2</v>
      </c>
      <c r="S41" s="1">
        <v>0.20300000000000001</v>
      </c>
      <c r="T41" s="1">
        <v>0.218</v>
      </c>
      <c r="U41" s="1">
        <v>1E-3</v>
      </c>
      <c r="V41" s="1">
        <v>3.0000000000000001E-3</v>
      </c>
      <c r="W41" s="1">
        <v>8.0000000000000002E-3</v>
      </c>
      <c r="X41" s="1">
        <v>1.2E-2</v>
      </c>
      <c r="Y41" s="1">
        <v>0.01</v>
      </c>
      <c r="Z41" s="1">
        <v>1.4E-2</v>
      </c>
      <c r="AA41" s="1">
        <v>0.55500000000000005</v>
      </c>
      <c r="AB41" s="1">
        <v>0.57399999999999995</v>
      </c>
      <c r="AC41" s="1">
        <v>0</v>
      </c>
      <c r="AD41" s="1">
        <v>1E-3</v>
      </c>
    </row>
    <row r="42" spans="1:30" x14ac:dyDescent="0.25">
      <c r="A42" t="str">
        <f>B42&amp;VLOOKUP(C42, Lookups!$E$2:$F$8,2,FALSE)</f>
        <v>ProstateEmergency presentation</v>
      </c>
      <c r="B42" t="s">
        <v>21</v>
      </c>
      <c r="C42" t="s">
        <v>33</v>
      </c>
      <c r="D42" s="1">
        <v>3.5525321239606951E-2</v>
      </c>
      <c r="E42" s="1">
        <v>2.6455026455026454E-2</v>
      </c>
      <c r="F42" s="1">
        <v>0.16304934672281612</v>
      </c>
      <c r="G42" s="1">
        <v>4.3191879926573806E-4</v>
      </c>
      <c r="H42" s="1">
        <v>1.5117157974300832E-3</v>
      </c>
      <c r="I42" s="1">
        <v>2.4079473059064896E-2</v>
      </c>
      <c r="J42" s="1">
        <v>0.7488392182269733</v>
      </c>
      <c r="K42" s="1">
        <v>1.0797969981643452E-4</v>
      </c>
      <c r="L42" s="1">
        <v>1</v>
      </c>
      <c r="M42" s="2">
        <v>9261</v>
      </c>
      <c r="O42" s="1">
        <v>3.2000000000000001E-2</v>
      </c>
      <c r="P42" s="1">
        <v>3.9E-2</v>
      </c>
      <c r="Q42" s="1">
        <v>2.3E-2</v>
      </c>
      <c r="R42" s="1">
        <v>0.03</v>
      </c>
      <c r="S42" s="1">
        <v>0.156</v>
      </c>
      <c r="T42" s="1">
        <v>0.17100000000000001</v>
      </c>
      <c r="U42" s="1">
        <v>0</v>
      </c>
      <c r="V42" s="1">
        <v>1E-3</v>
      </c>
      <c r="W42" s="1">
        <v>1E-3</v>
      </c>
      <c r="X42" s="1">
        <v>3.0000000000000001E-3</v>
      </c>
      <c r="Y42" s="1">
        <v>2.1000000000000001E-2</v>
      </c>
      <c r="Z42" s="1">
        <v>2.7E-2</v>
      </c>
      <c r="AA42" s="1">
        <v>0.74</v>
      </c>
      <c r="AB42" s="1">
        <v>0.75800000000000001</v>
      </c>
      <c r="AC42" s="1">
        <v>0</v>
      </c>
      <c r="AD42" s="1">
        <v>1E-3</v>
      </c>
    </row>
    <row r="43" spans="1:30" x14ac:dyDescent="0.25">
      <c r="A43" t="str">
        <f>B43&amp;VLOOKUP(C43, Lookups!$E$2:$F$8,2,FALSE)</f>
        <v>ProstateUnknown</v>
      </c>
      <c r="B43" t="s">
        <v>21</v>
      </c>
      <c r="C43" t="s">
        <v>4</v>
      </c>
      <c r="D43" s="1">
        <v>0.20195971692977682</v>
      </c>
      <c r="E43" s="1">
        <v>1.0887316276537834E-2</v>
      </c>
      <c r="F43" s="1">
        <v>0.16820903647250954</v>
      </c>
      <c r="G43" s="1">
        <v>5.4436581382689172E-4</v>
      </c>
      <c r="H43" s="1">
        <v>1.2792596624931955E-2</v>
      </c>
      <c r="I43" s="1">
        <v>1.0615133369624387E-2</v>
      </c>
      <c r="J43" s="1">
        <v>0.59499183451279258</v>
      </c>
      <c r="K43" s="1" t="s">
        <v>137</v>
      </c>
      <c r="L43" s="1">
        <v>1</v>
      </c>
      <c r="M43" s="2">
        <v>3674</v>
      </c>
      <c r="O43" s="1">
        <v>0.189</v>
      </c>
      <c r="P43" s="1">
        <v>0.215</v>
      </c>
      <c r="Q43" s="1">
        <v>8.0000000000000002E-3</v>
      </c>
      <c r="R43" s="1">
        <v>1.4999999999999999E-2</v>
      </c>
      <c r="S43" s="1">
        <v>0.156</v>
      </c>
      <c r="T43" s="1">
        <v>0.18099999999999999</v>
      </c>
      <c r="U43" s="1">
        <v>0</v>
      </c>
      <c r="V43" s="1">
        <v>2E-3</v>
      </c>
      <c r="W43" s="1">
        <v>0.01</v>
      </c>
      <c r="X43" s="1">
        <v>1.7000000000000001E-2</v>
      </c>
      <c r="Y43" s="1">
        <v>8.0000000000000002E-3</v>
      </c>
      <c r="Z43" s="1">
        <v>1.4E-2</v>
      </c>
      <c r="AA43" s="1">
        <v>0.57899999999999996</v>
      </c>
      <c r="AB43" s="1">
        <v>0.61099999999999999</v>
      </c>
      <c r="AC43" s="1"/>
      <c r="AD43" s="1"/>
    </row>
    <row r="44" spans="1:30" x14ac:dyDescent="0.25">
      <c r="A44" t="str">
        <f>B44&amp;VLOOKUP(C44, Lookups!$E$2:$F$8,2,FALSE)</f>
        <v>ProstateAll Routes</v>
      </c>
      <c r="B44" t="s">
        <v>21</v>
      </c>
      <c r="C44" t="s">
        <v>34</v>
      </c>
      <c r="D44" s="1">
        <v>0.14357148144188303</v>
      </c>
      <c r="E44" s="1">
        <v>1.803587436570141E-2</v>
      </c>
      <c r="F44" s="1">
        <v>0.27457624330748165</v>
      </c>
      <c r="G44" s="1">
        <v>8.6355075622373363E-4</v>
      </c>
      <c r="H44" s="1">
        <v>1.1908776142971108E-2</v>
      </c>
      <c r="I44" s="1">
        <v>1.5099801794540714E-2</v>
      </c>
      <c r="J44" s="1">
        <v>0.53573866486828792</v>
      </c>
      <c r="K44" s="1">
        <v>2.0560732291041278E-4</v>
      </c>
      <c r="L44" s="1">
        <v>1</v>
      </c>
      <c r="M44" s="2">
        <v>121591</v>
      </c>
      <c r="O44" s="1">
        <v>0.14199999999999999</v>
      </c>
      <c r="P44" s="1">
        <v>0.14599999999999999</v>
      </c>
      <c r="Q44" s="1">
        <v>1.7000000000000001E-2</v>
      </c>
      <c r="R44" s="1">
        <v>1.9E-2</v>
      </c>
      <c r="S44" s="1">
        <v>0.27200000000000002</v>
      </c>
      <c r="T44" s="1">
        <v>0.27700000000000002</v>
      </c>
      <c r="U44" s="1">
        <v>1E-3</v>
      </c>
      <c r="V44" s="1">
        <v>1E-3</v>
      </c>
      <c r="W44" s="1">
        <v>1.0999999999999999E-2</v>
      </c>
      <c r="X44" s="1">
        <v>1.2999999999999999E-2</v>
      </c>
      <c r="Y44" s="1">
        <v>1.4E-2</v>
      </c>
      <c r="Z44" s="1">
        <v>1.6E-2</v>
      </c>
      <c r="AA44" s="1">
        <v>0.53300000000000003</v>
      </c>
      <c r="AB44" s="1">
        <v>0.53900000000000003</v>
      </c>
      <c r="AC44" s="1">
        <v>0</v>
      </c>
      <c r="AD44" s="1">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sheetPr>
  <dimension ref="A1:AE254"/>
  <sheetViews>
    <sheetView workbookViewId="0"/>
  </sheetViews>
  <sheetFormatPr defaultRowHeight="15" x14ac:dyDescent="0.25"/>
  <cols>
    <col min="1" max="1" width="29.42578125" bestFit="1" customWidth="1"/>
    <col min="2" max="3" width="11" bestFit="1" customWidth="1"/>
    <col min="4" max="4" width="24.140625" bestFit="1" customWidth="1"/>
    <col min="5" max="5" width="21.140625" bestFit="1" customWidth="1"/>
    <col min="6" max="6" width="18.7109375" bestFit="1" customWidth="1"/>
    <col min="7" max="7" width="17.42578125" bestFit="1" customWidth="1"/>
    <col min="8" max="8" width="35.85546875" bestFit="1" customWidth="1"/>
    <col min="9" max="9" width="34.5703125" bestFit="1" customWidth="1"/>
    <col min="10" max="10" width="30.85546875" bestFit="1" customWidth="1"/>
    <col min="11" max="11" width="11" bestFit="1" customWidth="1"/>
    <col min="12" max="12" width="19.5703125" bestFit="1" customWidth="1"/>
    <col min="13" max="13" width="11" bestFit="1" customWidth="1"/>
    <col min="14" max="14" width="11.85546875" bestFit="1" customWidth="1"/>
    <col min="16" max="17" width="21.140625" bestFit="1" customWidth="1"/>
    <col min="18" max="19" width="18.7109375" bestFit="1" customWidth="1"/>
    <col min="20" max="21" width="17.42578125" bestFit="1" customWidth="1"/>
    <col min="22" max="23" width="35.85546875" bestFit="1" customWidth="1"/>
    <col min="24" max="25" width="34.5703125" bestFit="1" customWidth="1"/>
    <col min="26" max="27" width="30.85546875" bestFit="1" customWidth="1"/>
    <col min="28" max="29" width="10.28515625" bestFit="1" customWidth="1"/>
    <col min="30" max="31" width="19.5703125" bestFit="1" customWidth="1"/>
  </cols>
  <sheetData>
    <row r="1" spans="1:31" x14ac:dyDescent="0.25">
      <c r="A1" t="s">
        <v>29</v>
      </c>
      <c r="B1" t="s">
        <v>131</v>
      </c>
      <c r="C1" t="s">
        <v>131</v>
      </c>
      <c r="D1" t="s">
        <v>131</v>
      </c>
      <c r="E1" t="s">
        <v>131</v>
      </c>
      <c r="F1" t="s">
        <v>131</v>
      </c>
      <c r="G1" t="s">
        <v>131</v>
      </c>
      <c r="H1" t="s">
        <v>131</v>
      </c>
      <c r="I1" t="s">
        <v>131</v>
      </c>
      <c r="J1" t="s">
        <v>131</v>
      </c>
      <c r="K1" t="s">
        <v>131</v>
      </c>
      <c r="L1" t="s">
        <v>131</v>
      </c>
      <c r="M1" t="s">
        <v>131</v>
      </c>
      <c r="N1" t="s">
        <v>131</v>
      </c>
      <c r="P1" t="s">
        <v>132</v>
      </c>
      <c r="Q1" t="s">
        <v>133</v>
      </c>
      <c r="R1" t="s">
        <v>132</v>
      </c>
      <c r="S1" t="s">
        <v>133</v>
      </c>
      <c r="T1" t="s">
        <v>132</v>
      </c>
      <c r="U1" t="s">
        <v>133</v>
      </c>
      <c r="V1" t="s">
        <v>132</v>
      </c>
      <c r="W1" t="s">
        <v>133</v>
      </c>
      <c r="X1" t="s">
        <v>132</v>
      </c>
      <c r="Y1" t="s">
        <v>133</v>
      </c>
      <c r="Z1" t="s">
        <v>132</v>
      </c>
      <c r="AA1" t="s">
        <v>133</v>
      </c>
      <c r="AB1" t="s">
        <v>132</v>
      </c>
      <c r="AC1" t="s">
        <v>133</v>
      </c>
      <c r="AD1" t="s">
        <v>132</v>
      </c>
      <c r="AE1" t="s">
        <v>133</v>
      </c>
    </row>
    <row r="2" spans="1:31" x14ac:dyDescent="0.25">
      <c r="A2" t="s">
        <v>29</v>
      </c>
      <c r="B2" t="s">
        <v>41</v>
      </c>
      <c r="C2" t="s">
        <v>45</v>
      </c>
      <c r="D2" t="s">
        <v>37</v>
      </c>
      <c r="E2" t="s">
        <v>22</v>
      </c>
      <c r="F2" t="s">
        <v>23</v>
      </c>
      <c r="G2" t="s">
        <v>24</v>
      </c>
      <c r="H2" t="s">
        <v>25</v>
      </c>
      <c r="I2" t="s">
        <v>26</v>
      </c>
      <c r="J2" t="s">
        <v>27</v>
      </c>
      <c r="K2" t="s">
        <v>28</v>
      </c>
      <c r="L2" t="s">
        <v>134</v>
      </c>
      <c r="M2" t="s">
        <v>135</v>
      </c>
      <c r="N2" t="s">
        <v>136</v>
      </c>
      <c r="P2" t="s">
        <v>22</v>
      </c>
      <c r="Q2" t="s">
        <v>22</v>
      </c>
      <c r="R2" t="s">
        <v>23</v>
      </c>
      <c r="S2" t="s">
        <v>23</v>
      </c>
      <c r="T2" t="s">
        <v>24</v>
      </c>
      <c r="U2" t="s">
        <v>24</v>
      </c>
      <c r="V2" t="s">
        <v>25</v>
      </c>
      <c r="W2" t="s">
        <v>25</v>
      </c>
      <c r="X2" t="s">
        <v>26</v>
      </c>
      <c r="Y2" t="s">
        <v>26</v>
      </c>
      <c r="Z2" t="s">
        <v>27</v>
      </c>
      <c r="AA2" t="s">
        <v>27</v>
      </c>
      <c r="AB2" t="s">
        <v>28</v>
      </c>
      <c r="AC2" t="s">
        <v>28</v>
      </c>
      <c r="AD2" t="s">
        <v>134</v>
      </c>
      <c r="AE2" t="s">
        <v>134</v>
      </c>
    </row>
    <row r="3" spans="1:31" x14ac:dyDescent="0.25">
      <c r="A3" t="str">
        <f>B3&amp;VLOOKUP(D3, Lookups!$E$2:$F$8,2,FALSE)&amp;C3</f>
        <v>BreastScreen detectedUnder 50</v>
      </c>
      <c r="B3" t="s">
        <v>16</v>
      </c>
      <c r="C3" t="s">
        <v>7</v>
      </c>
      <c r="D3" t="s">
        <v>30</v>
      </c>
      <c r="E3" s="1">
        <v>0.13500000000000001</v>
      </c>
      <c r="F3" s="1">
        <v>5.909090909090909E-3</v>
      </c>
      <c r="G3" s="1">
        <v>9.5454545454545462E-3</v>
      </c>
      <c r="H3" s="1">
        <v>7.6818181818181813E-2</v>
      </c>
      <c r="I3" s="1">
        <v>0.45954545454545453</v>
      </c>
      <c r="J3" s="1">
        <v>4.0909090909090912E-3</v>
      </c>
      <c r="K3" s="1">
        <v>1.9090909090909092E-2</v>
      </c>
      <c r="L3" s="1">
        <v>0.28999999999999998</v>
      </c>
      <c r="M3" s="1">
        <v>1</v>
      </c>
      <c r="N3" s="2">
        <v>2200</v>
      </c>
      <c r="P3" s="1">
        <v>0.121</v>
      </c>
      <c r="Q3" s="1">
        <v>0.15</v>
      </c>
      <c r="R3" s="1">
        <v>3.0000000000000001E-3</v>
      </c>
      <c r="S3" s="1">
        <v>0.01</v>
      </c>
      <c r="T3" s="1">
        <v>6.0000000000000001E-3</v>
      </c>
      <c r="U3" s="1">
        <v>1.4999999999999999E-2</v>
      </c>
      <c r="V3" s="1">
        <v>6.6000000000000003E-2</v>
      </c>
      <c r="W3" s="1">
        <v>8.8999999999999996E-2</v>
      </c>
      <c r="X3" s="1">
        <v>0.439</v>
      </c>
      <c r="Y3" s="1">
        <v>0.48</v>
      </c>
      <c r="Z3" s="1">
        <v>2E-3</v>
      </c>
      <c r="AA3" s="1">
        <v>8.0000000000000002E-3</v>
      </c>
      <c r="AB3" s="1">
        <v>1.4E-2</v>
      </c>
      <c r="AC3" s="1">
        <v>2.5999999999999999E-2</v>
      </c>
      <c r="AD3" s="1">
        <v>0.27100000000000002</v>
      </c>
      <c r="AE3" s="1">
        <v>0.309</v>
      </c>
    </row>
    <row r="4" spans="1:31" x14ac:dyDescent="0.25">
      <c r="A4" t="str">
        <f>B4&amp;VLOOKUP(D4, Lookups!$E$2:$F$8,2,FALSE)&amp;C4</f>
        <v>BreastTwo Week WaitUnder 50</v>
      </c>
      <c r="B4" t="s">
        <v>16</v>
      </c>
      <c r="C4" t="s">
        <v>7</v>
      </c>
      <c r="D4" t="s">
        <v>31</v>
      </c>
      <c r="E4" s="1">
        <v>7.5244208763605921E-2</v>
      </c>
      <c r="F4" s="1">
        <v>1.5126988557075076E-2</v>
      </c>
      <c r="G4" s="1">
        <v>3.1816913201228019E-3</v>
      </c>
      <c r="H4" s="1">
        <v>0.12598381244766954</v>
      </c>
      <c r="I4" s="1">
        <v>0.15394920457716996</v>
      </c>
      <c r="J4" s="1">
        <v>1.4010605637733743E-2</v>
      </c>
      <c r="K4" s="1">
        <v>5.8051911805749373E-3</v>
      </c>
      <c r="L4" s="1">
        <v>0.60669829751604798</v>
      </c>
      <c r="M4" s="1">
        <v>1</v>
      </c>
      <c r="N4" s="2">
        <v>17915</v>
      </c>
      <c r="P4" s="1">
        <v>7.0999999999999994E-2</v>
      </c>
      <c r="Q4" s="1">
        <v>7.9000000000000001E-2</v>
      </c>
      <c r="R4" s="1">
        <v>1.2999999999999999E-2</v>
      </c>
      <c r="S4" s="1">
        <v>1.7000000000000001E-2</v>
      </c>
      <c r="T4" s="1">
        <v>2E-3</v>
      </c>
      <c r="U4" s="1">
        <v>4.0000000000000001E-3</v>
      </c>
      <c r="V4" s="1">
        <v>0.121</v>
      </c>
      <c r="W4" s="1">
        <v>0.13100000000000001</v>
      </c>
      <c r="X4" s="1">
        <v>0.14899999999999999</v>
      </c>
      <c r="Y4" s="1">
        <v>0.159</v>
      </c>
      <c r="Z4" s="1">
        <v>1.2E-2</v>
      </c>
      <c r="AA4" s="1">
        <v>1.6E-2</v>
      </c>
      <c r="AB4" s="1">
        <v>5.0000000000000001E-3</v>
      </c>
      <c r="AC4" s="1">
        <v>7.0000000000000001E-3</v>
      </c>
      <c r="AD4" s="1">
        <v>0.6</v>
      </c>
      <c r="AE4" s="1">
        <v>0.61399999999999999</v>
      </c>
    </row>
    <row r="5" spans="1:31" x14ac:dyDescent="0.25">
      <c r="A5" t="str">
        <f>B5&amp;VLOOKUP(D5, Lookups!$E$2:$F$8,2,FALSE)&amp;C5</f>
        <v>BreastGP referralUnder 50</v>
      </c>
      <c r="B5" t="s">
        <v>16</v>
      </c>
      <c r="C5" t="s">
        <v>7</v>
      </c>
      <c r="D5" t="s">
        <v>2</v>
      </c>
      <c r="E5" s="1">
        <v>0.18424036281179137</v>
      </c>
      <c r="F5" s="1">
        <v>3.4580498866213151E-2</v>
      </c>
      <c r="G5" s="1">
        <v>4.5634920634920632E-2</v>
      </c>
      <c r="H5" s="1">
        <v>0.10799319727891156</v>
      </c>
      <c r="I5" s="1">
        <v>0.15731292517006804</v>
      </c>
      <c r="J5" s="1">
        <v>4.1666666666666664E-2</v>
      </c>
      <c r="K5" s="1">
        <v>0.13038548752834467</v>
      </c>
      <c r="L5" s="1">
        <v>0.29818594104308388</v>
      </c>
      <c r="M5" s="1">
        <v>1</v>
      </c>
      <c r="N5" s="2">
        <v>3528</v>
      </c>
      <c r="P5" s="1">
        <v>0.17199999999999999</v>
      </c>
      <c r="Q5" s="1">
        <v>0.19700000000000001</v>
      </c>
      <c r="R5" s="1">
        <v>2.9000000000000001E-2</v>
      </c>
      <c r="S5" s="1">
        <v>4.1000000000000002E-2</v>
      </c>
      <c r="T5" s="1">
        <v>3.9E-2</v>
      </c>
      <c r="U5" s="1">
        <v>5.2999999999999999E-2</v>
      </c>
      <c r="V5" s="1">
        <v>9.8000000000000004E-2</v>
      </c>
      <c r="W5" s="1">
        <v>0.11899999999999999</v>
      </c>
      <c r="X5" s="1">
        <v>0.14599999999999999</v>
      </c>
      <c r="Y5" s="1">
        <v>0.17</v>
      </c>
      <c r="Z5" s="1">
        <v>3.5999999999999997E-2</v>
      </c>
      <c r="AA5" s="1">
        <v>4.9000000000000002E-2</v>
      </c>
      <c r="AB5" s="1">
        <v>0.12</v>
      </c>
      <c r="AC5" s="1">
        <v>0.14199999999999999</v>
      </c>
      <c r="AD5" s="1">
        <v>0.28299999999999997</v>
      </c>
      <c r="AE5" s="1">
        <v>0.313</v>
      </c>
    </row>
    <row r="6" spans="1:31" x14ac:dyDescent="0.25">
      <c r="A6" t="str">
        <f>B6&amp;VLOOKUP(D6, Lookups!$E$2:$F$8,2,FALSE)&amp;C6</f>
        <v>BreastIP &amp; OPUnder 50</v>
      </c>
      <c r="B6" t="s">
        <v>16</v>
      </c>
      <c r="C6" t="s">
        <v>7</v>
      </c>
      <c r="D6" t="s">
        <v>32</v>
      </c>
      <c r="E6" s="1">
        <v>0.23097463284379172</v>
      </c>
      <c r="F6" s="1">
        <v>5.0734312416555405E-2</v>
      </c>
      <c r="G6" s="1">
        <v>2.9372496662216287E-2</v>
      </c>
      <c r="H6" s="1">
        <v>0.13084112149532709</v>
      </c>
      <c r="I6" s="1">
        <v>0.19092122830440589</v>
      </c>
      <c r="J6" s="1">
        <v>6.1415220293724967E-2</v>
      </c>
      <c r="K6" s="1">
        <v>8.2777036048064079E-2</v>
      </c>
      <c r="L6" s="1">
        <v>0.22296395193591456</v>
      </c>
      <c r="M6" s="1">
        <v>1</v>
      </c>
      <c r="N6" s="2">
        <v>749</v>
      </c>
      <c r="P6" s="1">
        <v>0.20200000000000001</v>
      </c>
      <c r="Q6" s="1">
        <v>0.26200000000000001</v>
      </c>
      <c r="R6" s="1">
        <v>3.6999999999999998E-2</v>
      </c>
      <c r="S6" s="1">
        <v>6.9000000000000006E-2</v>
      </c>
      <c r="T6" s="1">
        <v>1.9E-2</v>
      </c>
      <c r="U6" s="1">
        <v>4.3999999999999997E-2</v>
      </c>
      <c r="V6" s="1">
        <v>0.109</v>
      </c>
      <c r="W6" s="1">
        <v>0.157</v>
      </c>
      <c r="X6" s="1">
        <v>0.16400000000000001</v>
      </c>
      <c r="Y6" s="1">
        <v>0.221</v>
      </c>
      <c r="Z6" s="1">
        <v>4.5999999999999999E-2</v>
      </c>
      <c r="AA6" s="1">
        <v>8.1000000000000003E-2</v>
      </c>
      <c r="AB6" s="1">
        <v>6.5000000000000002E-2</v>
      </c>
      <c r="AC6" s="1">
        <v>0.105</v>
      </c>
      <c r="AD6" s="1">
        <v>0.19500000000000001</v>
      </c>
      <c r="AE6" s="1">
        <v>0.254</v>
      </c>
    </row>
    <row r="7" spans="1:31" x14ac:dyDescent="0.25">
      <c r="A7" t="str">
        <f>B7&amp;VLOOKUP(D7, Lookups!$E$2:$F$8,2,FALSE)&amp;C7</f>
        <v>BreastEmergency presentationUnder 50</v>
      </c>
      <c r="B7" t="s">
        <v>16</v>
      </c>
      <c r="C7" t="s">
        <v>7</v>
      </c>
      <c r="D7" t="s">
        <v>33</v>
      </c>
      <c r="E7" s="1">
        <v>8.7591240875912413E-2</v>
      </c>
      <c r="F7" s="1">
        <v>0.16058394160583941</v>
      </c>
      <c r="G7" s="1">
        <v>5.5961070559610707E-2</v>
      </c>
      <c r="H7" s="1">
        <v>6.0827250608272508E-2</v>
      </c>
      <c r="I7" s="1">
        <v>6.3260340632603412E-2</v>
      </c>
      <c r="J7" s="1">
        <v>0.15085158150851583</v>
      </c>
      <c r="K7" s="1">
        <v>0.170316301703163</v>
      </c>
      <c r="L7" s="1">
        <v>0.25060827250608275</v>
      </c>
      <c r="M7" s="1">
        <v>1</v>
      </c>
      <c r="N7" s="2">
        <v>411</v>
      </c>
      <c r="P7" s="1">
        <v>6.4000000000000001E-2</v>
      </c>
      <c r="Q7" s="1">
        <v>0.11899999999999999</v>
      </c>
      <c r="R7" s="1">
        <v>0.128</v>
      </c>
      <c r="S7" s="1">
        <v>0.19900000000000001</v>
      </c>
      <c r="T7" s="1">
        <v>3.7999999999999999E-2</v>
      </c>
      <c r="U7" s="1">
        <v>8.3000000000000004E-2</v>
      </c>
      <c r="V7" s="1">
        <v>4.2000000000000003E-2</v>
      </c>
      <c r="W7" s="1">
        <v>8.7999999999999995E-2</v>
      </c>
      <c r="X7" s="1">
        <v>4.3999999999999997E-2</v>
      </c>
      <c r="Y7" s="1">
        <v>9.0999999999999998E-2</v>
      </c>
      <c r="Z7" s="1">
        <v>0.11899999999999999</v>
      </c>
      <c r="AA7" s="1">
        <v>0.189</v>
      </c>
      <c r="AB7" s="1">
        <v>0.13700000000000001</v>
      </c>
      <c r="AC7" s="1">
        <v>0.21</v>
      </c>
      <c r="AD7" s="1">
        <v>0.21099999999999999</v>
      </c>
      <c r="AE7" s="1">
        <v>0.29499999999999998</v>
      </c>
    </row>
    <row r="8" spans="1:31" x14ac:dyDescent="0.25">
      <c r="A8" t="str">
        <f>B8&amp;VLOOKUP(D8, Lookups!$E$2:$F$8,2,FALSE)&amp;C8</f>
        <v>BreastUnknownUnder 50</v>
      </c>
      <c r="B8" t="s">
        <v>16</v>
      </c>
      <c r="C8" t="s">
        <v>7</v>
      </c>
      <c r="D8" t="s">
        <v>4</v>
      </c>
      <c r="E8" s="1">
        <v>0.28722538649308382</v>
      </c>
      <c r="F8" s="1">
        <v>3.4174125305126118E-2</v>
      </c>
      <c r="G8" s="1">
        <v>6.9975589910496336E-2</v>
      </c>
      <c r="H8" s="1">
        <v>7.7298616761594788E-2</v>
      </c>
      <c r="I8" s="1">
        <v>0.17249796582587471</v>
      </c>
      <c r="J8" s="1">
        <v>4.0683482506102521E-2</v>
      </c>
      <c r="K8" s="1">
        <v>0.15134255492270138</v>
      </c>
      <c r="L8" s="1">
        <v>0.16680227827502034</v>
      </c>
      <c r="M8" s="1">
        <v>1</v>
      </c>
      <c r="N8" s="2">
        <v>1229</v>
      </c>
      <c r="P8" s="1">
        <v>0.26300000000000001</v>
      </c>
      <c r="Q8" s="1">
        <v>0.313</v>
      </c>
      <c r="R8" s="1">
        <v>2.5000000000000001E-2</v>
      </c>
      <c r="S8" s="1">
        <v>4.5999999999999999E-2</v>
      </c>
      <c r="T8" s="1">
        <v>5.7000000000000002E-2</v>
      </c>
      <c r="U8" s="1">
        <v>8.5999999999999993E-2</v>
      </c>
      <c r="V8" s="1">
        <v>6.4000000000000001E-2</v>
      </c>
      <c r="W8" s="1">
        <v>9.4E-2</v>
      </c>
      <c r="X8" s="1">
        <v>0.152</v>
      </c>
      <c r="Y8" s="1">
        <v>0.19500000000000001</v>
      </c>
      <c r="Z8" s="1">
        <v>3.1E-2</v>
      </c>
      <c r="AA8" s="1">
        <v>5.2999999999999999E-2</v>
      </c>
      <c r="AB8" s="1">
        <v>0.13200000000000001</v>
      </c>
      <c r="AC8" s="1">
        <v>0.17199999999999999</v>
      </c>
      <c r="AD8" s="1">
        <v>0.14699999999999999</v>
      </c>
      <c r="AE8" s="1">
        <v>0.189</v>
      </c>
    </row>
    <row r="9" spans="1:31" x14ac:dyDescent="0.25">
      <c r="A9" t="str">
        <f>B9&amp;VLOOKUP(D9, Lookups!$E$2:$F$8,2,FALSE)&amp;C9</f>
        <v>BreastAll RoutesUnder 50</v>
      </c>
      <c r="B9" t="s">
        <v>16</v>
      </c>
      <c r="C9" t="s">
        <v>7</v>
      </c>
      <c r="D9" t="s">
        <v>34</v>
      </c>
      <c r="E9" s="1">
        <v>0.10974953902888752</v>
      </c>
      <c r="F9" s="1">
        <v>2.1204671173939767E-2</v>
      </c>
      <c r="G9" s="1">
        <v>1.4213275968039335E-2</v>
      </c>
      <c r="H9" s="1">
        <v>0.11620313460356484</v>
      </c>
      <c r="I9" s="1">
        <v>0.18073909035033806</v>
      </c>
      <c r="J9" s="1">
        <v>2.1704056545789798E-2</v>
      </c>
      <c r="K9" s="1">
        <v>3.5494775660725258E-2</v>
      </c>
      <c r="L9" s="1">
        <v>0.5006914566687154</v>
      </c>
      <c r="M9" s="1">
        <v>0.99999999999999989</v>
      </c>
      <c r="N9" s="2">
        <v>26032</v>
      </c>
      <c r="P9" s="1">
        <v>0.106</v>
      </c>
      <c r="Q9" s="1">
        <v>0.114</v>
      </c>
      <c r="R9" s="1">
        <v>0.02</v>
      </c>
      <c r="S9" s="1">
        <v>2.3E-2</v>
      </c>
      <c r="T9" s="1">
        <v>1.2999999999999999E-2</v>
      </c>
      <c r="U9" s="1">
        <v>1.6E-2</v>
      </c>
      <c r="V9" s="1">
        <v>0.112</v>
      </c>
      <c r="W9" s="1">
        <v>0.12</v>
      </c>
      <c r="X9" s="1">
        <v>0.17599999999999999</v>
      </c>
      <c r="Y9" s="1">
        <v>0.185</v>
      </c>
      <c r="Z9" s="1">
        <v>0.02</v>
      </c>
      <c r="AA9" s="1">
        <v>2.4E-2</v>
      </c>
      <c r="AB9" s="1">
        <v>3.3000000000000002E-2</v>
      </c>
      <c r="AC9" s="1">
        <v>3.7999999999999999E-2</v>
      </c>
      <c r="AD9" s="1">
        <v>0.495</v>
      </c>
      <c r="AE9" s="1">
        <v>0.50700000000000001</v>
      </c>
    </row>
    <row r="10" spans="1:31" x14ac:dyDescent="0.25">
      <c r="A10" t="str">
        <f>B10&amp;VLOOKUP(D10, Lookups!$E$2:$F$8,2,FALSE)&amp;C10</f>
        <v>BreastScreen detected50-59</v>
      </c>
      <c r="B10" t="s">
        <v>16</v>
      </c>
      <c r="C10" t="s">
        <v>8</v>
      </c>
      <c r="D10" t="s">
        <v>30</v>
      </c>
      <c r="E10" s="1">
        <v>0.12891274761832755</v>
      </c>
      <c r="F10" s="1">
        <v>3.8560411311053984E-3</v>
      </c>
      <c r="G10" s="1">
        <v>1.2021775291093301E-2</v>
      </c>
      <c r="H10" s="1">
        <v>4.7709057916225615E-2</v>
      </c>
      <c r="I10" s="1">
        <v>0.52653863601996065</v>
      </c>
      <c r="J10" s="1">
        <v>4.7633449266596102E-3</v>
      </c>
      <c r="K10" s="1">
        <v>2.003629215182217E-2</v>
      </c>
      <c r="L10" s="1">
        <v>0.25616210494480568</v>
      </c>
      <c r="M10" s="1">
        <v>1</v>
      </c>
      <c r="N10" s="2">
        <v>13226</v>
      </c>
      <c r="P10" s="1">
        <v>0.123</v>
      </c>
      <c r="Q10" s="1">
        <v>0.13500000000000001</v>
      </c>
      <c r="R10" s="1">
        <v>3.0000000000000001E-3</v>
      </c>
      <c r="S10" s="1">
        <v>5.0000000000000001E-3</v>
      </c>
      <c r="T10" s="1">
        <v>0.01</v>
      </c>
      <c r="U10" s="1">
        <v>1.4E-2</v>
      </c>
      <c r="V10" s="1">
        <v>4.3999999999999997E-2</v>
      </c>
      <c r="W10" s="1">
        <v>5.0999999999999997E-2</v>
      </c>
      <c r="X10" s="1">
        <v>0.51800000000000002</v>
      </c>
      <c r="Y10" s="1">
        <v>0.53500000000000003</v>
      </c>
      <c r="Z10" s="1">
        <v>4.0000000000000001E-3</v>
      </c>
      <c r="AA10" s="1">
        <v>6.0000000000000001E-3</v>
      </c>
      <c r="AB10" s="1">
        <v>1.7999999999999999E-2</v>
      </c>
      <c r="AC10" s="1">
        <v>2.3E-2</v>
      </c>
      <c r="AD10" s="1">
        <v>0.249</v>
      </c>
      <c r="AE10" s="1">
        <v>0.26400000000000001</v>
      </c>
    </row>
    <row r="11" spans="1:31" x14ac:dyDescent="0.25">
      <c r="A11" t="str">
        <f>B11&amp;VLOOKUP(D11, Lookups!$E$2:$F$8,2,FALSE)&amp;C11</f>
        <v>BreastTwo Week Wait50-59</v>
      </c>
      <c r="B11" t="s">
        <v>16</v>
      </c>
      <c r="C11" t="s">
        <v>8</v>
      </c>
      <c r="D11" t="s">
        <v>31</v>
      </c>
      <c r="E11" s="1">
        <v>8.8888888888888892E-2</v>
      </c>
      <c r="F11" s="1">
        <v>1.9587176108915239E-2</v>
      </c>
      <c r="G11" s="1">
        <v>5.3579270970575315E-3</v>
      </c>
      <c r="H11" s="1">
        <v>9.9868247694334653E-2</v>
      </c>
      <c r="I11" s="1">
        <v>0.22880983750548967</v>
      </c>
      <c r="J11" s="1">
        <v>1.6952129995608255E-2</v>
      </c>
      <c r="K11" s="1">
        <v>1.5458937198067632E-2</v>
      </c>
      <c r="L11" s="1">
        <v>0.52507685551163807</v>
      </c>
      <c r="M11" s="1">
        <v>1</v>
      </c>
      <c r="N11" s="2">
        <v>11385</v>
      </c>
      <c r="P11" s="1">
        <v>8.4000000000000005E-2</v>
      </c>
      <c r="Q11" s="1">
        <v>9.4E-2</v>
      </c>
      <c r="R11" s="1">
        <v>1.7000000000000001E-2</v>
      </c>
      <c r="S11" s="1">
        <v>2.1999999999999999E-2</v>
      </c>
      <c r="T11" s="1">
        <v>4.0000000000000001E-3</v>
      </c>
      <c r="U11" s="1">
        <v>7.0000000000000001E-3</v>
      </c>
      <c r="V11" s="1">
        <v>9.4E-2</v>
      </c>
      <c r="W11" s="1">
        <v>0.106</v>
      </c>
      <c r="X11" s="1">
        <v>0.221</v>
      </c>
      <c r="Y11" s="1">
        <v>0.23699999999999999</v>
      </c>
      <c r="Z11" s="1">
        <v>1.4999999999999999E-2</v>
      </c>
      <c r="AA11" s="1">
        <v>1.9E-2</v>
      </c>
      <c r="AB11" s="1">
        <v>1.2999999999999999E-2</v>
      </c>
      <c r="AC11" s="1">
        <v>1.7999999999999999E-2</v>
      </c>
      <c r="AD11" s="1">
        <v>0.51600000000000001</v>
      </c>
      <c r="AE11" s="1">
        <v>0.53400000000000003</v>
      </c>
    </row>
    <row r="12" spans="1:31" x14ac:dyDescent="0.25">
      <c r="A12" t="str">
        <f>B12&amp;VLOOKUP(D12, Lookups!$E$2:$F$8,2,FALSE)&amp;C12</f>
        <v>BreastGP referral50-59</v>
      </c>
      <c r="B12" t="s">
        <v>16</v>
      </c>
      <c r="C12" t="s">
        <v>8</v>
      </c>
      <c r="D12" t="s">
        <v>2</v>
      </c>
      <c r="E12" s="1">
        <v>0.20932317346481399</v>
      </c>
      <c r="F12" s="1">
        <v>4.1237113402061855E-2</v>
      </c>
      <c r="G12" s="1">
        <v>4.5719408337068577E-2</v>
      </c>
      <c r="H12" s="1">
        <v>8.9645898700134466E-2</v>
      </c>
      <c r="I12" s="1">
        <v>0.21604661586732407</v>
      </c>
      <c r="J12" s="1">
        <v>3.7651277454056477E-2</v>
      </c>
      <c r="K12" s="1">
        <v>0.1214701927386822</v>
      </c>
      <c r="L12" s="1">
        <v>0.23890632003585835</v>
      </c>
      <c r="M12" s="1">
        <v>1</v>
      </c>
      <c r="N12" s="2">
        <v>2231</v>
      </c>
      <c r="P12" s="1">
        <v>0.193</v>
      </c>
      <c r="Q12" s="1">
        <v>0.22700000000000001</v>
      </c>
      <c r="R12" s="1">
        <v>3.4000000000000002E-2</v>
      </c>
      <c r="S12" s="1">
        <v>0.05</v>
      </c>
      <c r="T12" s="1">
        <v>3.7999999999999999E-2</v>
      </c>
      <c r="U12" s="1">
        <v>5.5E-2</v>
      </c>
      <c r="V12" s="1">
        <v>7.8E-2</v>
      </c>
      <c r="W12" s="1">
        <v>0.10199999999999999</v>
      </c>
      <c r="X12" s="1">
        <v>0.19900000000000001</v>
      </c>
      <c r="Y12" s="1">
        <v>0.23400000000000001</v>
      </c>
      <c r="Z12" s="1">
        <v>3.1E-2</v>
      </c>
      <c r="AA12" s="1">
        <v>4.5999999999999999E-2</v>
      </c>
      <c r="AB12" s="1">
        <v>0.109</v>
      </c>
      <c r="AC12" s="1">
        <v>0.13600000000000001</v>
      </c>
      <c r="AD12" s="1">
        <v>0.222</v>
      </c>
      <c r="AE12" s="1">
        <v>0.25700000000000001</v>
      </c>
    </row>
    <row r="13" spans="1:31" x14ac:dyDescent="0.25">
      <c r="A13" t="str">
        <f>B13&amp;VLOOKUP(D13, Lookups!$E$2:$F$8,2,FALSE)&amp;C13</f>
        <v>BreastIP &amp; OP50-59</v>
      </c>
      <c r="B13" t="s">
        <v>16</v>
      </c>
      <c r="C13" t="s">
        <v>8</v>
      </c>
      <c r="D13" t="s">
        <v>32</v>
      </c>
      <c r="E13" s="1">
        <v>0.2382716049382716</v>
      </c>
      <c r="F13" s="1">
        <v>4.5679012345679011E-2</v>
      </c>
      <c r="G13" s="1">
        <v>1.9753086419753086E-2</v>
      </c>
      <c r="H13" s="1">
        <v>0.11851851851851852</v>
      </c>
      <c r="I13" s="1">
        <v>0.26296296296296295</v>
      </c>
      <c r="J13" s="1">
        <v>4.0740740740740744E-2</v>
      </c>
      <c r="K13" s="1">
        <v>7.5308641975308649E-2</v>
      </c>
      <c r="L13" s="1">
        <v>0.19876543209876543</v>
      </c>
      <c r="M13" s="1">
        <v>0.99999999999999989</v>
      </c>
      <c r="N13" s="2">
        <v>810</v>
      </c>
      <c r="P13" s="1">
        <v>0.21</v>
      </c>
      <c r="Q13" s="1">
        <v>0.26900000000000002</v>
      </c>
      <c r="R13" s="1">
        <v>3.3000000000000002E-2</v>
      </c>
      <c r="S13" s="1">
        <v>6.2E-2</v>
      </c>
      <c r="T13" s="1">
        <v>1.2E-2</v>
      </c>
      <c r="U13" s="1">
        <v>3.2000000000000001E-2</v>
      </c>
      <c r="V13" s="1">
        <v>9.8000000000000004E-2</v>
      </c>
      <c r="W13" s="1">
        <v>0.14299999999999999</v>
      </c>
      <c r="X13" s="1">
        <v>0.23400000000000001</v>
      </c>
      <c r="Y13" s="1">
        <v>0.29399999999999998</v>
      </c>
      <c r="Z13" s="1">
        <v>2.9000000000000001E-2</v>
      </c>
      <c r="AA13" s="1">
        <v>5.7000000000000002E-2</v>
      </c>
      <c r="AB13" s="1">
        <v>5.8999999999999997E-2</v>
      </c>
      <c r="AC13" s="1">
        <v>9.6000000000000002E-2</v>
      </c>
      <c r="AD13" s="1">
        <v>0.17299999999999999</v>
      </c>
      <c r="AE13" s="1">
        <v>0.22800000000000001</v>
      </c>
    </row>
    <row r="14" spans="1:31" x14ac:dyDescent="0.25">
      <c r="A14" t="str">
        <f>B14&amp;VLOOKUP(D14, Lookups!$E$2:$F$8,2,FALSE)&amp;C14</f>
        <v>BreastEmergency presentation50-59</v>
      </c>
      <c r="B14" t="s">
        <v>16</v>
      </c>
      <c r="C14" t="s">
        <v>8</v>
      </c>
      <c r="D14" t="s">
        <v>33</v>
      </c>
      <c r="E14" s="1">
        <v>6.765327695560254E-2</v>
      </c>
      <c r="F14" s="1">
        <v>0.1226215644820296</v>
      </c>
      <c r="G14" s="1">
        <v>8.0338266384778007E-2</v>
      </c>
      <c r="H14" s="1">
        <v>5.2854122621564484E-2</v>
      </c>
      <c r="I14" s="1">
        <v>0.10359408033826638</v>
      </c>
      <c r="J14" s="1">
        <v>0.10993657505285412</v>
      </c>
      <c r="K14" s="1">
        <v>0.29175475687103591</v>
      </c>
      <c r="L14" s="1">
        <v>0.17124735729386892</v>
      </c>
      <c r="M14" s="1">
        <v>1</v>
      </c>
      <c r="N14" s="2">
        <v>473</v>
      </c>
      <c r="P14" s="1">
        <v>4.8000000000000001E-2</v>
      </c>
      <c r="Q14" s="1">
        <v>9.4E-2</v>
      </c>
      <c r="R14" s="1">
        <v>9.6000000000000002E-2</v>
      </c>
      <c r="S14" s="1">
        <v>0.155</v>
      </c>
      <c r="T14" s="1">
        <v>5.8999999999999997E-2</v>
      </c>
      <c r="U14" s="1">
        <v>0.108</v>
      </c>
      <c r="V14" s="1">
        <v>3.5999999999999997E-2</v>
      </c>
      <c r="W14" s="1">
        <v>7.6999999999999999E-2</v>
      </c>
      <c r="X14" s="1">
        <v>7.9000000000000001E-2</v>
      </c>
      <c r="Y14" s="1">
        <v>0.13400000000000001</v>
      </c>
      <c r="Z14" s="1">
        <v>8.5000000000000006E-2</v>
      </c>
      <c r="AA14" s="1">
        <v>0.14099999999999999</v>
      </c>
      <c r="AB14" s="1">
        <v>0.253</v>
      </c>
      <c r="AC14" s="1">
        <v>0.33400000000000002</v>
      </c>
      <c r="AD14" s="1">
        <v>0.14000000000000001</v>
      </c>
      <c r="AE14" s="1">
        <v>0.20799999999999999</v>
      </c>
    </row>
    <row r="15" spans="1:31" x14ac:dyDescent="0.25">
      <c r="A15" t="str">
        <f>B15&amp;VLOOKUP(D15, Lookups!$E$2:$F$8,2,FALSE)&amp;C15</f>
        <v>BreastUnknown50-59</v>
      </c>
      <c r="B15" t="s">
        <v>16</v>
      </c>
      <c r="C15" t="s">
        <v>8</v>
      </c>
      <c r="D15" t="s">
        <v>4</v>
      </c>
      <c r="E15" s="1">
        <v>0.24276169265033407</v>
      </c>
      <c r="F15" s="1">
        <v>2.7468448403860431E-2</v>
      </c>
      <c r="G15" s="1">
        <v>4.4543429844097995E-2</v>
      </c>
      <c r="H15" s="1">
        <v>7.9435783221974754E-2</v>
      </c>
      <c r="I15" s="1">
        <v>0.25612472160356348</v>
      </c>
      <c r="J15" s="1">
        <v>3.4892353377876766E-2</v>
      </c>
      <c r="K15" s="1">
        <v>0.13066072754268745</v>
      </c>
      <c r="L15" s="1">
        <v>0.18411284335560504</v>
      </c>
      <c r="M15" s="1">
        <v>1</v>
      </c>
      <c r="N15" s="2">
        <v>1347</v>
      </c>
      <c r="P15" s="1">
        <v>0.221</v>
      </c>
      <c r="Q15" s="1">
        <v>0.26600000000000001</v>
      </c>
      <c r="R15" s="1">
        <v>0.02</v>
      </c>
      <c r="S15" s="1">
        <v>3.7999999999999999E-2</v>
      </c>
      <c r="T15" s="1">
        <v>3.5000000000000003E-2</v>
      </c>
      <c r="U15" s="1">
        <v>5.7000000000000002E-2</v>
      </c>
      <c r="V15" s="1">
        <v>6.6000000000000003E-2</v>
      </c>
      <c r="W15" s="1">
        <v>9.5000000000000001E-2</v>
      </c>
      <c r="X15" s="1">
        <v>0.23400000000000001</v>
      </c>
      <c r="Y15" s="1">
        <v>0.28000000000000003</v>
      </c>
      <c r="Z15" s="1">
        <v>2.5999999999999999E-2</v>
      </c>
      <c r="AA15" s="1">
        <v>4.5999999999999999E-2</v>
      </c>
      <c r="AB15" s="1">
        <v>0.114</v>
      </c>
      <c r="AC15" s="1">
        <v>0.15</v>
      </c>
      <c r="AD15" s="1">
        <v>0.16400000000000001</v>
      </c>
      <c r="AE15" s="1">
        <v>0.20599999999999999</v>
      </c>
    </row>
    <row r="16" spans="1:31" x14ac:dyDescent="0.25">
      <c r="A16" t="str">
        <f>B16&amp;VLOOKUP(D16, Lookups!$E$2:$F$8,2,FALSE)&amp;C16</f>
        <v>BreastAll Routes50-59</v>
      </c>
      <c r="B16" t="s">
        <v>16</v>
      </c>
      <c r="C16" t="s">
        <v>8</v>
      </c>
      <c r="D16" t="s">
        <v>34</v>
      </c>
      <c r="E16" s="1">
        <v>0.12676438653637351</v>
      </c>
      <c r="F16" s="1">
        <v>1.6897394136807818E-2</v>
      </c>
      <c r="G16" s="1">
        <v>1.4793702497285559E-2</v>
      </c>
      <c r="H16" s="1">
        <v>7.4511400651465803E-2</v>
      </c>
      <c r="I16" s="1">
        <v>0.36163137893593922</v>
      </c>
      <c r="J16" s="1">
        <v>1.6015200868621064E-2</v>
      </c>
      <c r="K16" s="1">
        <v>3.6882464712269275E-2</v>
      </c>
      <c r="L16" s="1">
        <v>0.35250407166123776</v>
      </c>
      <c r="M16" s="1">
        <v>1</v>
      </c>
      <c r="N16" s="2">
        <v>29472</v>
      </c>
      <c r="P16" s="1">
        <v>0.123</v>
      </c>
      <c r="Q16" s="1">
        <v>0.13100000000000001</v>
      </c>
      <c r="R16" s="1">
        <v>1.4999999999999999E-2</v>
      </c>
      <c r="S16" s="1">
        <v>1.7999999999999999E-2</v>
      </c>
      <c r="T16" s="1">
        <v>1.2999999999999999E-2</v>
      </c>
      <c r="U16" s="1">
        <v>1.6E-2</v>
      </c>
      <c r="V16" s="1">
        <v>7.1999999999999995E-2</v>
      </c>
      <c r="W16" s="1">
        <v>7.8E-2</v>
      </c>
      <c r="X16" s="1">
        <v>0.35599999999999998</v>
      </c>
      <c r="Y16" s="1">
        <v>0.36699999999999999</v>
      </c>
      <c r="Z16" s="1">
        <v>1.4999999999999999E-2</v>
      </c>
      <c r="AA16" s="1">
        <v>1.7999999999999999E-2</v>
      </c>
      <c r="AB16" s="1">
        <v>3.5000000000000003E-2</v>
      </c>
      <c r="AC16" s="1">
        <v>3.9E-2</v>
      </c>
      <c r="AD16" s="1">
        <v>0.34699999999999998</v>
      </c>
      <c r="AE16" s="1">
        <v>0.35799999999999998</v>
      </c>
    </row>
    <row r="17" spans="1:31" x14ac:dyDescent="0.25">
      <c r="A17" t="str">
        <f>B17&amp;VLOOKUP(D17, Lookups!$E$2:$F$8,2,FALSE)&amp;C17</f>
        <v>BreastScreen detected60-69</v>
      </c>
      <c r="B17" t="s">
        <v>16</v>
      </c>
      <c r="C17" t="s">
        <v>9</v>
      </c>
      <c r="D17" t="s">
        <v>30</v>
      </c>
      <c r="E17" s="1">
        <v>0.13795927280668233</v>
      </c>
      <c r="F17" s="1">
        <v>2.7842987388764537E-3</v>
      </c>
      <c r="G17" s="1">
        <v>8.0799257520336298E-3</v>
      </c>
      <c r="H17" s="1">
        <v>3.4012119888628053E-2</v>
      </c>
      <c r="I17" s="1">
        <v>0.62346454113664906</v>
      </c>
      <c r="J17" s="1">
        <v>3.5486160397444995E-3</v>
      </c>
      <c r="K17" s="1">
        <v>1.9271714800458591E-2</v>
      </c>
      <c r="L17" s="1">
        <v>0.17087951083692746</v>
      </c>
      <c r="M17" s="1">
        <v>1.0000000000000002</v>
      </c>
      <c r="N17" s="2">
        <v>18317</v>
      </c>
      <c r="P17" s="1">
        <v>0.13300000000000001</v>
      </c>
      <c r="Q17" s="1">
        <v>0.14299999999999999</v>
      </c>
      <c r="R17" s="1">
        <v>2E-3</v>
      </c>
      <c r="S17" s="1">
        <v>4.0000000000000001E-3</v>
      </c>
      <c r="T17" s="1">
        <v>7.0000000000000001E-3</v>
      </c>
      <c r="U17" s="1">
        <v>8.9999999999999993E-3</v>
      </c>
      <c r="V17" s="1">
        <v>3.1E-2</v>
      </c>
      <c r="W17" s="1">
        <v>3.6999999999999998E-2</v>
      </c>
      <c r="X17" s="1">
        <v>0.61599999999999999</v>
      </c>
      <c r="Y17" s="1">
        <v>0.63</v>
      </c>
      <c r="Z17" s="1">
        <v>3.0000000000000001E-3</v>
      </c>
      <c r="AA17" s="1">
        <v>5.0000000000000001E-3</v>
      </c>
      <c r="AB17" s="1">
        <v>1.7000000000000001E-2</v>
      </c>
      <c r="AC17" s="1">
        <v>2.1000000000000001E-2</v>
      </c>
      <c r="AD17" s="1">
        <v>0.16500000000000001</v>
      </c>
      <c r="AE17" s="1">
        <v>0.17599999999999999</v>
      </c>
    </row>
    <row r="18" spans="1:31" x14ac:dyDescent="0.25">
      <c r="A18" t="str">
        <f>B18&amp;VLOOKUP(D18, Lookups!$E$2:$F$8,2,FALSE)&amp;C18</f>
        <v>BreastTwo Week Wait60-69</v>
      </c>
      <c r="B18" t="s">
        <v>16</v>
      </c>
      <c r="C18" t="s">
        <v>9</v>
      </c>
      <c r="D18" t="s">
        <v>31</v>
      </c>
      <c r="E18" s="1">
        <v>0.1427211355374762</v>
      </c>
      <c r="F18" s="1">
        <v>2.1204777566210836E-2</v>
      </c>
      <c r="G18" s="1">
        <v>7.5298597888177254E-3</v>
      </c>
      <c r="H18" s="1">
        <v>8.2309157001904096E-2</v>
      </c>
      <c r="I18" s="1">
        <v>0.31746581270555652</v>
      </c>
      <c r="J18" s="1">
        <v>1.4194218452483988E-2</v>
      </c>
      <c r="K18" s="1">
        <v>3.9380301194391551E-2</v>
      </c>
      <c r="L18" s="1">
        <v>0.37519473775315909</v>
      </c>
      <c r="M18" s="1">
        <v>1</v>
      </c>
      <c r="N18" s="2">
        <v>11554</v>
      </c>
      <c r="P18" s="1">
        <v>0.13600000000000001</v>
      </c>
      <c r="Q18" s="1">
        <v>0.14899999999999999</v>
      </c>
      <c r="R18" s="1">
        <v>1.9E-2</v>
      </c>
      <c r="S18" s="1">
        <v>2.4E-2</v>
      </c>
      <c r="T18" s="1">
        <v>6.0000000000000001E-3</v>
      </c>
      <c r="U18" s="1">
        <v>8.9999999999999993E-3</v>
      </c>
      <c r="V18" s="1">
        <v>7.6999999999999999E-2</v>
      </c>
      <c r="W18" s="1">
        <v>8.6999999999999994E-2</v>
      </c>
      <c r="X18" s="1">
        <v>0.309</v>
      </c>
      <c r="Y18" s="1">
        <v>0.32600000000000001</v>
      </c>
      <c r="Z18" s="1">
        <v>1.2E-2</v>
      </c>
      <c r="AA18" s="1">
        <v>1.7000000000000001E-2</v>
      </c>
      <c r="AB18" s="1">
        <v>3.5999999999999997E-2</v>
      </c>
      <c r="AC18" s="1">
        <v>4.2999999999999997E-2</v>
      </c>
      <c r="AD18" s="1">
        <v>0.36599999999999999</v>
      </c>
      <c r="AE18" s="1">
        <v>0.38400000000000001</v>
      </c>
    </row>
    <row r="19" spans="1:31" x14ac:dyDescent="0.25">
      <c r="A19" t="str">
        <f>B19&amp;VLOOKUP(D19, Lookups!$E$2:$F$8,2,FALSE)&amp;C19</f>
        <v>BreastGP referral60-69</v>
      </c>
      <c r="B19" t="s">
        <v>16</v>
      </c>
      <c r="C19" t="s">
        <v>9</v>
      </c>
      <c r="D19" t="s">
        <v>2</v>
      </c>
      <c r="E19" s="1">
        <v>0.22041763341067286</v>
      </c>
      <c r="F19" s="1">
        <v>4.6403712296983757E-2</v>
      </c>
      <c r="G19" s="1">
        <v>4.3619489559164733E-2</v>
      </c>
      <c r="H19" s="1">
        <v>8.7238979118329466E-2</v>
      </c>
      <c r="I19" s="1">
        <v>0.27470997679814385</v>
      </c>
      <c r="J19" s="1">
        <v>3.8979118329466357E-2</v>
      </c>
      <c r="K19" s="1">
        <v>0.12389791183294664</v>
      </c>
      <c r="L19" s="1">
        <v>0.16473317865429235</v>
      </c>
      <c r="M19" s="1">
        <v>0.99999999999999989</v>
      </c>
      <c r="N19" s="2">
        <v>2155</v>
      </c>
      <c r="P19" s="1">
        <v>0.20300000000000001</v>
      </c>
      <c r="Q19" s="1">
        <v>0.23799999999999999</v>
      </c>
      <c r="R19" s="1">
        <v>3.7999999999999999E-2</v>
      </c>
      <c r="S19" s="1">
        <v>5.6000000000000001E-2</v>
      </c>
      <c r="T19" s="1">
        <v>3.5999999999999997E-2</v>
      </c>
      <c r="U19" s="1">
        <v>5.2999999999999999E-2</v>
      </c>
      <c r="V19" s="1">
        <v>7.5999999999999998E-2</v>
      </c>
      <c r="W19" s="1">
        <v>0.1</v>
      </c>
      <c r="X19" s="1">
        <v>0.25600000000000001</v>
      </c>
      <c r="Y19" s="1">
        <v>0.29399999999999998</v>
      </c>
      <c r="Z19" s="1">
        <v>3.2000000000000001E-2</v>
      </c>
      <c r="AA19" s="1">
        <v>4.8000000000000001E-2</v>
      </c>
      <c r="AB19" s="1">
        <v>0.111</v>
      </c>
      <c r="AC19" s="1">
        <v>0.13800000000000001</v>
      </c>
      <c r="AD19" s="1">
        <v>0.15</v>
      </c>
      <c r="AE19" s="1">
        <v>0.18099999999999999</v>
      </c>
    </row>
    <row r="20" spans="1:31" x14ac:dyDescent="0.25">
      <c r="A20" t="str">
        <f>B20&amp;VLOOKUP(D20, Lookups!$E$2:$F$8,2,FALSE)&amp;C20</f>
        <v>BreastIP &amp; OP60-69</v>
      </c>
      <c r="B20" t="s">
        <v>16</v>
      </c>
      <c r="C20" t="s">
        <v>9</v>
      </c>
      <c r="D20" t="s">
        <v>32</v>
      </c>
      <c r="E20" s="1">
        <v>0.22995283018867924</v>
      </c>
      <c r="F20" s="1">
        <v>5.5424528301886794E-2</v>
      </c>
      <c r="G20" s="1">
        <v>3.1839622641509434E-2</v>
      </c>
      <c r="H20" s="1">
        <v>7.1933962264150941E-2</v>
      </c>
      <c r="I20" s="1">
        <v>0.32665094339622641</v>
      </c>
      <c r="J20" s="1">
        <v>2.8301886792452831E-2</v>
      </c>
      <c r="K20" s="1">
        <v>0.10259433962264151</v>
      </c>
      <c r="L20" s="1">
        <v>0.15330188679245282</v>
      </c>
      <c r="M20" s="1">
        <v>0.99999999999999989</v>
      </c>
      <c r="N20" s="2">
        <v>848</v>
      </c>
      <c r="P20" s="1">
        <v>0.20300000000000001</v>
      </c>
      <c r="Q20" s="1">
        <v>0.25900000000000001</v>
      </c>
      <c r="R20" s="1">
        <v>4.2000000000000003E-2</v>
      </c>
      <c r="S20" s="1">
        <v>7.2999999999999995E-2</v>
      </c>
      <c r="T20" s="1">
        <v>2.1999999999999999E-2</v>
      </c>
      <c r="U20" s="1">
        <v>4.5999999999999999E-2</v>
      </c>
      <c r="V20" s="1">
        <v>5.6000000000000001E-2</v>
      </c>
      <c r="W20" s="1">
        <v>9.0999999999999998E-2</v>
      </c>
      <c r="X20" s="1">
        <v>0.29599999999999999</v>
      </c>
      <c r="Y20" s="1">
        <v>0.35899999999999999</v>
      </c>
      <c r="Z20" s="1">
        <v>1.9E-2</v>
      </c>
      <c r="AA20" s="1">
        <v>4.2000000000000003E-2</v>
      </c>
      <c r="AB20" s="1">
        <v>8.4000000000000005E-2</v>
      </c>
      <c r="AC20" s="1">
        <v>0.125</v>
      </c>
      <c r="AD20" s="1">
        <v>0.13100000000000001</v>
      </c>
      <c r="AE20" s="1">
        <v>0.17899999999999999</v>
      </c>
    </row>
    <row r="21" spans="1:31" x14ac:dyDescent="0.25">
      <c r="A21" t="str">
        <f>B21&amp;VLOOKUP(D21, Lookups!$E$2:$F$8,2,FALSE)&amp;C21</f>
        <v>BreastEmergency presentation60-69</v>
      </c>
      <c r="B21" t="s">
        <v>16</v>
      </c>
      <c r="C21" t="s">
        <v>9</v>
      </c>
      <c r="D21" t="s">
        <v>33</v>
      </c>
      <c r="E21" s="1">
        <v>0.10318664643399089</v>
      </c>
      <c r="F21" s="1">
        <v>9.8634294385432475E-2</v>
      </c>
      <c r="G21" s="1">
        <v>0.13353566009104703</v>
      </c>
      <c r="H21" s="1">
        <v>2.4279210925644917E-2</v>
      </c>
      <c r="I21" s="1">
        <v>9.7116843702579669E-2</v>
      </c>
      <c r="J21" s="1">
        <v>6.3732928679817905E-2</v>
      </c>
      <c r="K21" s="1">
        <v>0.38694992412746587</v>
      </c>
      <c r="L21" s="1">
        <v>9.2564491654021239E-2</v>
      </c>
      <c r="M21" s="1">
        <v>1</v>
      </c>
      <c r="N21" s="2">
        <v>659</v>
      </c>
      <c r="P21" s="1">
        <v>8.2000000000000003E-2</v>
      </c>
      <c r="Q21" s="1">
        <v>0.129</v>
      </c>
      <c r="R21" s="1">
        <v>7.8E-2</v>
      </c>
      <c r="S21" s="1">
        <v>0.124</v>
      </c>
      <c r="T21" s="1">
        <v>0.11</v>
      </c>
      <c r="U21" s="1">
        <v>0.16200000000000001</v>
      </c>
      <c r="V21" s="1">
        <v>1.4999999999999999E-2</v>
      </c>
      <c r="W21" s="1">
        <v>3.9E-2</v>
      </c>
      <c r="X21" s="1">
        <v>7.6999999999999999E-2</v>
      </c>
      <c r="Y21" s="1">
        <v>0.122</v>
      </c>
      <c r="Z21" s="1">
        <v>4.7E-2</v>
      </c>
      <c r="AA21" s="1">
        <v>8.5000000000000006E-2</v>
      </c>
      <c r="AB21" s="1">
        <v>0.35099999999999998</v>
      </c>
      <c r="AC21" s="1">
        <v>0.42499999999999999</v>
      </c>
      <c r="AD21" s="1">
        <v>7.2999999999999995E-2</v>
      </c>
      <c r="AE21" s="1">
        <v>0.11700000000000001</v>
      </c>
    </row>
    <row r="22" spans="1:31" x14ac:dyDescent="0.25">
      <c r="A22" t="str">
        <f>B22&amp;VLOOKUP(D22, Lookups!$E$2:$F$8,2,FALSE)&amp;C22</f>
        <v>BreastUnknown60-69</v>
      </c>
      <c r="B22" t="s">
        <v>16</v>
      </c>
      <c r="C22" t="s">
        <v>9</v>
      </c>
      <c r="D22" t="s">
        <v>4</v>
      </c>
      <c r="E22" s="1">
        <v>0.25054784514243972</v>
      </c>
      <c r="F22" s="1">
        <v>1.9722425127830533E-2</v>
      </c>
      <c r="G22" s="1">
        <v>4.3097151205259317E-2</v>
      </c>
      <c r="H22" s="1">
        <v>5.7706355003652302E-2</v>
      </c>
      <c r="I22" s="1">
        <v>0.34477720964207453</v>
      </c>
      <c r="J22" s="1">
        <v>2.483564645726808E-2</v>
      </c>
      <c r="K22" s="1">
        <v>0.10226442658875091</v>
      </c>
      <c r="L22" s="1">
        <v>0.15704894083272461</v>
      </c>
      <c r="M22" s="1">
        <v>0.99999999999999989</v>
      </c>
      <c r="N22" s="2">
        <v>1369</v>
      </c>
      <c r="P22" s="1">
        <v>0.22800000000000001</v>
      </c>
      <c r="Q22" s="1">
        <v>0.27400000000000002</v>
      </c>
      <c r="R22" s="1">
        <v>1.4E-2</v>
      </c>
      <c r="S22" s="1">
        <v>2.9000000000000001E-2</v>
      </c>
      <c r="T22" s="1">
        <v>3.4000000000000002E-2</v>
      </c>
      <c r="U22" s="1">
        <v>5.5E-2</v>
      </c>
      <c r="V22" s="1">
        <v>4.7E-2</v>
      </c>
      <c r="W22" s="1">
        <v>7.0999999999999994E-2</v>
      </c>
      <c r="X22" s="1">
        <v>0.32</v>
      </c>
      <c r="Y22" s="1">
        <v>0.37</v>
      </c>
      <c r="Z22" s="1">
        <v>1.7999999999999999E-2</v>
      </c>
      <c r="AA22" s="1">
        <v>3.5000000000000003E-2</v>
      </c>
      <c r="AB22" s="1">
        <v>8.6999999999999994E-2</v>
      </c>
      <c r="AC22" s="1">
        <v>0.11899999999999999</v>
      </c>
      <c r="AD22" s="1">
        <v>0.13900000000000001</v>
      </c>
      <c r="AE22" s="1">
        <v>0.17699999999999999</v>
      </c>
    </row>
    <row r="23" spans="1:31" x14ac:dyDescent="0.25">
      <c r="A23" t="str">
        <f>B23&amp;VLOOKUP(D23, Lookups!$E$2:$F$8,2,FALSE)&amp;C23</f>
        <v>BreastAll Routes60-69</v>
      </c>
      <c r="B23" t="s">
        <v>16</v>
      </c>
      <c r="C23" t="s">
        <v>9</v>
      </c>
      <c r="D23" t="s">
        <v>34</v>
      </c>
      <c r="E23" s="1">
        <v>0.15062174087444846</v>
      </c>
      <c r="F23" s="1">
        <v>1.532863446220847E-2</v>
      </c>
      <c r="G23" s="1">
        <v>1.4411781559796E-2</v>
      </c>
      <c r="H23" s="1">
        <v>5.4953870838347373E-2</v>
      </c>
      <c r="I23" s="1">
        <v>0.4725517162340267</v>
      </c>
      <c r="J23" s="1">
        <v>1.1833132771760931E-2</v>
      </c>
      <c r="K23" s="1">
        <v>4.4610624033006703E-2</v>
      </c>
      <c r="L23" s="1">
        <v>0.23568849922640536</v>
      </c>
      <c r="M23" s="1">
        <v>1</v>
      </c>
      <c r="N23" s="2">
        <v>34902</v>
      </c>
      <c r="P23" s="1">
        <v>0.14699999999999999</v>
      </c>
      <c r="Q23" s="1">
        <v>0.154</v>
      </c>
      <c r="R23" s="1">
        <v>1.4E-2</v>
      </c>
      <c r="S23" s="1">
        <v>1.7000000000000001E-2</v>
      </c>
      <c r="T23" s="1">
        <v>1.2999999999999999E-2</v>
      </c>
      <c r="U23" s="1">
        <v>1.6E-2</v>
      </c>
      <c r="V23" s="1">
        <v>5.2999999999999999E-2</v>
      </c>
      <c r="W23" s="1">
        <v>5.7000000000000002E-2</v>
      </c>
      <c r="X23" s="1">
        <v>0.46700000000000003</v>
      </c>
      <c r="Y23" s="1">
        <v>0.47799999999999998</v>
      </c>
      <c r="Z23" s="1">
        <v>1.0999999999999999E-2</v>
      </c>
      <c r="AA23" s="1">
        <v>1.2999999999999999E-2</v>
      </c>
      <c r="AB23" s="1">
        <v>4.2000000000000003E-2</v>
      </c>
      <c r="AC23" s="1">
        <v>4.7E-2</v>
      </c>
      <c r="AD23" s="1">
        <v>0.23100000000000001</v>
      </c>
      <c r="AE23" s="1">
        <v>0.24</v>
      </c>
    </row>
    <row r="24" spans="1:31" x14ac:dyDescent="0.25">
      <c r="A24" t="str">
        <f>B24&amp;VLOOKUP(D24, Lookups!$E$2:$F$8,2,FALSE)&amp;C24</f>
        <v>BreastScreen detected70-79</v>
      </c>
      <c r="B24" t="s">
        <v>16</v>
      </c>
      <c r="C24" t="s">
        <v>10</v>
      </c>
      <c r="D24" t="s">
        <v>30</v>
      </c>
      <c r="E24" s="1">
        <v>0.19570617459190914</v>
      </c>
      <c r="F24" s="1">
        <v>1.9517388218594747E-3</v>
      </c>
      <c r="G24" s="1">
        <v>7.9843860894251249E-3</v>
      </c>
      <c r="H24" s="1">
        <v>2.0759403832505324E-2</v>
      </c>
      <c r="I24" s="1">
        <v>0.65134847409510288</v>
      </c>
      <c r="J24" s="1">
        <v>1.4194464158977999E-3</v>
      </c>
      <c r="K24" s="1">
        <v>2.6082327892122073E-2</v>
      </c>
      <c r="L24" s="1">
        <v>9.4748048261178136E-2</v>
      </c>
      <c r="M24" s="1">
        <v>0.99999999999999989</v>
      </c>
      <c r="N24" s="2">
        <v>5636</v>
      </c>
      <c r="P24" s="1">
        <v>0.186</v>
      </c>
      <c r="Q24" s="1">
        <v>0.20599999999999999</v>
      </c>
      <c r="R24" s="1">
        <v>1E-3</v>
      </c>
      <c r="S24" s="1">
        <v>3.0000000000000001E-3</v>
      </c>
      <c r="T24" s="1">
        <v>6.0000000000000001E-3</v>
      </c>
      <c r="U24" s="1">
        <v>1.0999999999999999E-2</v>
      </c>
      <c r="V24" s="1">
        <v>1.7000000000000001E-2</v>
      </c>
      <c r="W24" s="1">
        <v>2.5000000000000001E-2</v>
      </c>
      <c r="X24" s="1">
        <v>0.63900000000000001</v>
      </c>
      <c r="Y24" s="1">
        <v>0.66400000000000003</v>
      </c>
      <c r="Z24" s="1">
        <v>1E-3</v>
      </c>
      <c r="AA24" s="1">
        <v>3.0000000000000001E-3</v>
      </c>
      <c r="AB24" s="1">
        <v>2.1999999999999999E-2</v>
      </c>
      <c r="AC24" s="1">
        <v>3.1E-2</v>
      </c>
      <c r="AD24" s="1">
        <v>8.6999999999999994E-2</v>
      </c>
      <c r="AE24" s="1">
        <v>0.10299999999999999</v>
      </c>
    </row>
    <row r="25" spans="1:31" x14ac:dyDescent="0.25">
      <c r="A25" t="str">
        <f>B25&amp;VLOOKUP(D25, Lookups!$E$2:$F$8,2,FALSE)&amp;C25</f>
        <v>BreastTwo Week Wait70-79</v>
      </c>
      <c r="B25" t="s">
        <v>16</v>
      </c>
      <c r="C25" t="s">
        <v>10</v>
      </c>
      <c r="D25" t="s">
        <v>31</v>
      </c>
      <c r="E25" s="1">
        <v>0.2297609345286607</v>
      </c>
      <c r="F25" s="1">
        <v>1.8676989948383592E-2</v>
      </c>
      <c r="G25" s="1">
        <v>1.5281173594132029E-2</v>
      </c>
      <c r="H25" s="1">
        <v>4.1768541157294212E-2</v>
      </c>
      <c r="I25" s="1">
        <v>0.42250747079597933</v>
      </c>
      <c r="J25" s="1">
        <v>9.5082857919043737E-3</v>
      </c>
      <c r="K25" s="1">
        <v>0.12428687856560718</v>
      </c>
      <c r="L25" s="1">
        <v>0.13820972561803857</v>
      </c>
      <c r="M25" s="1">
        <v>1</v>
      </c>
      <c r="N25" s="2">
        <v>14724</v>
      </c>
      <c r="P25" s="1">
        <v>0.223</v>
      </c>
      <c r="Q25" s="1">
        <v>0.23699999999999999</v>
      </c>
      <c r="R25" s="1">
        <v>1.7000000000000001E-2</v>
      </c>
      <c r="S25" s="1">
        <v>2.1000000000000001E-2</v>
      </c>
      <c r="T25" s="1">
        <v>1.2999999999999999E-2</v>
      </c>
      <c r="U25" s="1">
        <v>1.7000000000000001E-2</v>
      </c>
      <c r="V25" s="1">
        <v>3.9E-2</v>
      </c>
      <c r="W25" s="1">
        <v>4.4999999999999998E-2</v>
      </c>
      <c r="X25" s="1">
        <v>0.41499999999999998</v>
      </c>
      <c r="Y25" s="1">
        <v>0.43099999999999999</v>
      </c>
      <c r="Z25" s="1">
        <v>8.0000000000000002E-3</v>
      </c>
      <c r="AA25" s="1">
        <v>1.0999999999999999E-2</v>
      </c>
      <c r="AB25" s="1">
        <v>0.11899999999999999</v>
      </c>
      <c r="AC25" s="1">
        <v>0.13</v>
      </c>
      <c r="AD25" s="1">
        <v>0.13300000000000001</v>
      </c>
      <c r="AE25" s="1">
        <v>0.14399999999999999</v>
      </c>
    </row>
    <row r="26" spans="1:31" x14ac:dyDescent="0.25">
      <c r="A26" t="str">
        <f>B26&amp;VLOOKUP(D26, Lookups!$E$2:$F$8,2,FALSE)&amp;C26</f>
        <v>BreastGP referral70-79</v>
      </c>
      <c r="B26" t="s">
        <v>16</v>
      </c>
      <c r="C26" t="s">
        <v>10</v>
      </c>
      <c r="D26" t="s">
        <v>2</v>
      </c>
      <c r="E26" s="1">
        <v>0.26205936920222633</v>
      </c>
      <c r="F26" s="1">
        <v>3.8497217068645638E-2</v>
      </c>
      <c r="G26" s="1">
        <v>5.9369202226345084E-2</v>
      </c>
      <c r="H26" s="1">
        <v>3.1076066790352505E-2</v>
      </c>
      <c r="I26" s="1">
        <v>0.2857142857142857</v>
      </c>
      <c r="J26" s="1">
        <v>2.7829313543599257E-2</v>
      </c>
      <c r="K26" s="1">
        <v>0.22170686456400743</v>
      </c>
      <c r="L26" s="1">
        <v>7.3747680890538028E-2</v>
      </c>
      <c r="M26" s="1">
        <v>1</v>
      </c>
      <c r="N26" s="2">
        <v>2156</v>
      </c>
      <c r="P26" s="1">
        <v>0.24399999999999999</v>
      </c>
      <c r="Q26" s="1">
        <v>0.28100000000000003</v>
      </c>
      <c r="R26" s="1">
        <v>3.1E-2</v>
      </c>
      <c r="S26" s="1">
        <v>4.7E-2</v>
      </c>
      <c r="T26" s="1">
        <v>0.05</v>
      </c>
      <c r="U26" s="1">
        <v>7.0000000000000007E-2</v>
      </c>
      <c r="V26" s="1">
        <v>2.5000000000000001E-2</v>
      </c>
      <c r="W26" s="1">
        <v>3.9E-2</v>
      </c>
      <c r="X26" s="1">
        <v>0.26700000000000002</v>
      </c>
      <c r="Y26" s="1">
        <v>0.30499999999999999</v>
      </c>
      <c r="Z26" s="1">
        <v>2.1999999999999999E-2</v>
      </c>
      <c r="AA26" s="1">
        <v>3.5999999999999997E-2</v>
      </c>
      <c r="AB26" s="1">
        <v>0.20499999999999999</v>
      </c>
      <c r="AC26" s="1">
        <v>0.24</v>
      </c>
      <c r="AD26" s="1">
        <v>6.3E-2</v>
      </c>
      <c r="AE26" s="1">
        <v>8.5999999999999993E-2</v>
      </c>
    </row>
    <row r="27" spans="1:31" x14ac:dyDescent="0.25">
      <c r="A27" t="str">
        <f>B27&amp;VLOOKUP(D27, Lookups!$E$2:$F$8,2,FALSE)&amp;C27</f>
        <v>BreastIP &amp; OP70-79</v>
      </c>
      <c r="B27" t="s">
        <v>16</v>
      </c>
      <c r="C27" t="s">
        <v>10</v>
      </c>
      <c r="D27" t="s">
        <v>32</v>
      </c>
      <c r="E27" s="1">
        <v>0.25786163522012578</v>
      </c>
      <c r="F27" s="1">
        <v>5.1886792452830191E-2</v>
      </c>
      <c r="G27" s="1">
        <v>5.5031446540880505E-2</v>
      </c>
      <c r="H27" s="1">
        <v>2.9874213836477988E-2</v>
      </c>
      <c r="I27" s="1">
        <v>0.3191823899371069</v>
      </c>
      <c r="J27" s="1">
        <v>2.20125786163522E-2</v>
      </c>
      <c r="K27" s="1">
        <v>0.19811320754716982</v>
      </c>
      <c r="L27" s="1">
        <v>6.6037735849056603E-2</v>
      </c>
      <c r="M27" s="1">
        <v>0.99999999999999989</v>
      </c>
      <c r="N27" s="2">
        <v>636</v>
      </c>
      <c r="P27" s="1">
        <v>0.22500000000000001</v>
      </c>
      <c r="Q27" s="1">
        <v>0.29299999999999998</v>
      </c>
      <c r="R27" s="1">
        <v>3.6999999999999998E-2</v>
      </c>
      <c r="S27" s="1">
        <v>7.1999999999999995E-2</v>
      </c>
      <c r="T27" s="1">
        <v>0.04</v>
      </c>
      <c r="U27" s="1">
        <v>7.5999999999999998E-2</v>
      </c>
      <c r="V27" s="1">
        <v>1.9E-2</v>
      </c>
      <c r="W27" s="1">
        <v>4.5999999999999999E-2</v>
      </c>
      <c r="X27" s="1">
        <v>0.28399999999999997</v>
      </c>
      <c r="Y27" s="1">
        <v>0.35599999999999998</v>
      </c>
      <c r="Z27" s="1">
        <v>1.2999999999999999E-2</v>
      </c>
      <c r="AA27" s="1">
        <v>3.6999999999999998E-2</v>
      </c>
      <c r="AB27" s="1">
        <v>0.16900000000000001</v>
      </c>
      <c r="AC27" s="1">
        <v>0.23100000000000001</v>
      </c>
      <c r="AD27" s="1">
        <v>4.9000000000000002E-2</v>
      </c>
      <c r="AE27" s="1">
        <v>8.7999999999999995E-2</v>
      </c>
    </row>
    <row r="28" spans="1:31" x14ac:dyDescent="0.25">
      <c r="A28" t="str">
        <f>B28&amp;VLOOKUP(D28, Lookups!$E$2:$F$8,2,FALSE)&amp;C28</f>
        <v>BreastEmergency presentation70-79</v>
      </c>
      <c r="B28" t="s">
        <v>16</v>
      </c>
      <c r="C28" t="s">
        <v>10</v>
      </c>
      <c r="D28" t="s">
        <v>33</v>
      </c>
      <c r="E28" s="1">
        <v>9.7035040431266845E-2</v>
      </c>
      <c r="F28" s="1">
        <v>5.8400718778077267E-2</v>
      </c>
      <c r="G28" s="1">
        <v>0.11949685534591195</v>
      </c>
      <c r="H28" s="1">
        <v>9.883198562443846E-3</v>
      </c>
      <c r="I28" s="1">
        <v>8.5354896675651395E-2</v>
      </c>
      <c r="J28" s="1">
        <v>4.3126684636118601E-2</v>
      </c>
      <c r="K28" s="1">
        <v>0.56424079065588495</v>
      </c>
      <c r="L28" s="1">
        <v>2.2461814914645103E-2</v>
      </c>
      <c r="M28" s="1">
        <v>0.99999999999999989</v>
      </c>
      <c r="N28" s="2">
        <v>1113</v>
      </c>
      <c r="P28" s="1">
        <v>8.1000000000000003E-2</v>
      </c>
      <c r="Q28" s="1">
        <v>0.11600000000000001</v>
      </c>
      <c r="R28" s="1">
        <v>4.5999999999999999E-2</v>
      </c>
      <c r="S28" s="1">
        <v>7.3999999999999996E-2</v>
      </c>
      <c r="T28" s="1">
        <v>0.10199999999999999</v>
      </c>
      <c r="U28" s="1">
        <v>0.14000000000000001</v>
      </c>
      <c r="V28" s="1">
        <v>6.0000000000000001E-3</v>
      </c>
      <c r="W28" s="1">
        <v>1.7999999999999999E-2</v>
      </c>
      <c r="X28" s="1">
        <v>7.0000000000000007E-2</v>
      </c>
      <c r="Y28" s="1">
        <v>0.10299999999999999</v>
      </c>
      <c r="Z28" s="1">
        <v>3.3000000000000002E-2</v>
      </c>
      <c r="AA28" s="1">
        <v>5.7000000000000002E-2</v>
      </c>
      <c r="AB28" s="1">
        <v>0.53500000000000003</v>
      </c>
      <c r="AC28" s="1">
        <v>0.59299999999999997</v>
      </c>
      <c r="AD28" s="1">
        <v>1.4999999999999999E-2</v>
      </c>
      <c r="AE28" s="1">
        <v>3.3000000000000002E-2</v>
      </c>
    </row>
    <row r="29" spans="1:31" x14ac:dyDescent="0.25">
      <c r="A29" t="str">
        <f>B29&amp;VLOOKUP(D29, Lookups!$E$2:$F$8,2,FALSE)&amp;C29</f>
        <v>BreastUnknown70-79</v>
      </c>
      <c r="B29" t="s">
        <v>16</v>
      </c>
      <c r="C29" t="s">
        <v>10</v>
      </c>
      <c r="D29" t="s">
        <v>4</v>
      </c>
      <c r="E29" s="1">
        <v>0.29339477726574503</v>
      </c>
      <c r="F29" s="1">
        <v>1.3824884792626729E-2</v>
      </c>
      <c r="G29" s="1">
        <v>6.6052227342549924E-2</v>
      </c>
      <c r="H29" s="1">
        <v>2.4577572964669739E-2</v>
      </c>
      <c r="I29" s="1">
        <v>0.30568356374807987</v>
      </c>
      <c r="J29" s="1">
        <v>1.5360983102918587E-2</v>
      </c>
      <c r="K29" s="1">
        <v>0.2119815668202765</v>
      </c>
      <c r="L29" s="1">
        <v>6.9124423963133647E-2</v>
      </c>
      <c r="M29" s="1">
        <v>1</v>
      </c>
      <c r="N29" s="2">
        <v>651</v>
      </c>
      <c r="P29" s="1">
        <v>0.26</v>
      </c>
      <c r="Q29" s="1">
        <v>0.33</v>
      </c>
      <c r="R29" s="1">
        <v>7.0000000000000001E-3</v>
      </c>
      <c r="S29" s="1">
        <v>2.5999999999999999E-2</v>
      </c>
      <c r="T29" s="1">
        <v>4.9000000000000002E-2</v>
      </c>
      <c r="U29" s="1">
        <v>8.7999999999999995E-2</v>
      </c>
      <c r="V29" s="1">
        <v>1.4999999999999999E-2</v>
      </c>
      <c r="W29" s="1">
        <v>0.04</v>
      </c>
      <c r="X29" s="1">
        <v>0.27200000000000002</v>
      </c>
      <c r="Y29" s="1">
        <v>0.34200000000000003</v>
      </c>
      <c r="Z29" s="1">
        <v>8.0000000000000002E-3</v>
      </c>
      <c r="AA29" s="1">
        <v>2.8000000000000001E-2</v>
      </c>
      <c r="AB29" s="1">
        <v>0.182</v>
      </c>
      <c r="AC29" s="1">
        <v>0.245</v>
      </c>
      <c r="AD29" s="1">
        <v>5.1999999999999998E-2</v>
      </c>
      <c r="AE29" s="1">
        <v>9.0999999999999998E-2</v>
      </c>
    </row>
    <row r="30" spans="1:31" x14ac:dyDescent="0.25">
      <c r="A30" t="str">
        <f>B30&amp;VLOOKUP(D30, Lookups!$E$2:$F$8,2,FALSE)&amp;C30</f>
        <v>BreastAll Routes70-79</v>
      </c>
      <c r="B30" t="s">
        <v>16</v>
      </c>
      <c r="C30" t="s">
        <v>10</v>
      </c>
      <c r="D30" t="s">
        <v>34</v>
      </c>
      <c r="E30" s="1">
        <v>0.22130358002889711</v>
      </c>
      <c r="F30" s="1">
        <v>1.9104190078664311E-2</v>
      </c>
      <c r="G30" s="1">
        <v>2.4442125541820518E-2</v>
      </c>
      <c r="H30" s="1">
        <v>3.3913950874939799E-2</v>
      </c>
      <c r="I30" s="1">
        <v>0.44168405843634612</v>
      </c>
      <c r="J30" s="1">
        <v>1.1237758869802536E-2</v>
      </c>
      <c r="K30" s="1">
        <v>0.13433135334724675</v>
      </c>
      <c r="L30" s="1">
        <v>0.11398298282228288</v>
      </c>
      <c r="M30" s="1">
        <v>1</v>
      </c>
      <c r="N30" s="2">
        <v>24916</v>
      </c>
      <c r="P30" s="1">
        <v>0.216</v>
      </c>
      <c r="Q30" s="1">
        <v>0.22700000000000001</v>
      </c>
      <c r="R30" s="1">
        <v>1.7000000000000001E-2</v>
      </c>
      <c r="S30" s="1">
        <v>2.1000000000000001E-2</v>
      </c>
      <c r="T30" s="1">
        <v>2.3E-2</v>
      </c>
      <c r="U30" s="1">
        <v>2.5999999999999999E-2</v>
      </c>
      <c r="V30" s="1">
        <v>3.2000000000000001E-2</v>
      </c>
      <c r="W30" s="1">
        <v>3.5999999999999997E-2</v>
      </c>
      <c r="X30" s="1">
        <v>0.436</v>
      </c>
      <c r="Y30" s="1">
        <v>0.44800000000000001</v>
      </c>
      <c r="Z30" s="1">
        <v>0.01</v>
      </c>
      <c r="AA30" s="1">
        <v>1.2999999999999999E-2</v>
      </c>
      <c r="AB30" s="1">
        <v>0.13</v>
      </c>
      <c r="AC30" s="1">
        <v>0.13900000000000001</v>
      </c>
      <c r="AD30" s="1">
        <v>0.11</v>
      </c>
      <c r="AE30" s="1">
        <v>0.11799999999999999</v>
      </c>
    </row>
    <row r="31" spans="1:31" x14ac:dyDescent="0.25">
      <c r="A31" t="str">
        <f>B31&amp;VLOOKUP(D31, Lookups!$E$2:$F$8,2,FALSE)&amp;C31</f>
        <v>BreastScreen detected80-84</v>
      </c>
      <c r="B31" t="s">
        <v>16</v>
      </c>
      <c r="C31" t="s">
        <v>11</v>
      </c>
      <c r="D31" t="s">
        <v>30</v>
      </c>
      <c r="E31" s="1">
        <v>0.28117913832199548</v>
      </c>
      <c r="F31" s="1">
        <v>0</v>
      </c>
      <c r="G31" s="1">
        <v>9.0702947845804991E-3</v>
      </c>
      <c r="H31" s="1">
        <v>1.1337868480725623E-2</v>
      </c>
      <c r="I31" s="1">
        <v>0.60317460317460314</v>
      </c>
      <c r="J31" s="1">
        <v>0</v>
      </c>
      <c r="K31" s="1">
        <v>7.2562358276643993E-2</v>
      </c>
      <c r="L31" s="1">
        <v>2.2675736961451247E-2</v>
      </c>
      <c r="M31" s="1">
        <v>0.99999999999999989</v>
      </c>
      <c r="N31" s="2">
        <v>441</v>
      </c>
      <c r="P31" s="1">
        <v>0.24099999999999999</v>
      </c>
      <c r="Q31" s="1">
        <v>0.32500000000000001</v>
      </c>
      <c r="R31" s="1">
        <v>0</v>
      </c>
      <c r="S31" s="1">
        <v>8.9999999999999993E-3</v>
      </c>
      <c r="T31" s="1">
        <v>4.0000000000000001E-3</v>
      </c>
      <c r="U31" s="1">
        <v>2.3E-2</v>
      </c>
      <c r="V31" s="1">
        <v>5.0000000000000001E-3</v>
      </c>
      <c r="W31" s="1">
        <v>2.5999999999999999E-2</v>
      </c>
      <c r="X31" s="1">
        <v>0.55700000000000005</v>
      </c>
      <c r="Y31" s="1">
        <v>0.64800000000000002</v>
      </c>
      <c r="Z31" s="1">
        <v>0</v>
      </c>
      <c r="AA31" s="1">
        <v>8.9999999999999993E-3</v>
      </c>
      <c r="AB31" s="1">
        <v>5.1999999999999998E-2</v>
      </c>
      <c r="AC31" s="1">
        <v>0.10100000000000001</v>
      </c>
      <c r="AD31" s="1">
        <v>1.2E-2</v>
      </c>
      <c r="AE31" s="1">
        <v>4.1000000000000002E-2</v>
      </c>
    </row>
    <row r="32" spans="1:31" x14ac:dyDescent="0.25">
      <c r="A32" t="str">
        <f>B32&amp;VLOOKUP(D32, Lookups!$E$2:$F$8,2,FALSE)&amp;C32</f>
        <v>BreastTwo Week Wait80-84</v>
      </c>
      <c r="B32" t="s">
        <v>16</v>
      </c>
      <c r="C32" t="s">
        <v>11</v>
      </c>
      <c r="D32" t="s">
        <v>31</v>
      </c>
      <c r="E32" s="1">
        <v>0.26529246419488689</v>
      </c>
      <c r="F32" s="1">
        <v>1.4723597911926114E-2</v>
      </c>
      <c r="G32" s="1">
        <v>1.9542229955829205E-2</v>
      </c>
      <c r="H32" s="1">
        <v>8.70030785704725E-3</v>
      </c>
      <c r="I32" s="1">
        <v>0.33690269040289117</v>
      </c>
      <c r="J32" s="1">
        <v>4.5509302636862533E-3</v>
      </c>
      <c r="K32" s="1">
        <v>0.32940704055681969</v>
      </c>
      <c r="L32" s="1">
        <v>2.0880738856913397E-2</v>
      </c>
      <c r="M32" s="1">
        <v>1</v>
      </c>
      <c r="N32" s="2">
        <v>7471</v>
      </c>
      <c r="P32" s="1">
        <v>0.255</v>
      </c>
      <c r="Q32" s="1">
        <v>0.27500000000000002</v>
      </c>
      <c r="R32" s="1">
        <v>1.2E-2</v>
      </c>
      <c r="S32" s="1">
        <v>1.7999999999999999E-2</v>
      </c>
      <c r="T32" s="1">
        <v>1.7000000000000001E-2</v>
      </c>
      <c r="U32" s="1">
        <v>2.3E-2</v>
      </c>
      <c r="V32" s="1">
        <v>7.0000000000000001E-3</v>
      </c>
      <c r="W32" s="1">
        <v>1.0999999999999999E-2</v>
      </c>
      <c r="X32" s="1">
        <v>0.32600000000000001</v>
      </c>
      <c r="Y32" s="1">
        <v>0.34799999999999998</v>
      </c>
      <c r="Z32" s="1">
        <v>3.0000000000000001E-3</v>
      </c>
      <c r="AA32" s="1">
        <v>6.0000000000000001E-3</v>
      </c>
      <c r="AB32" s="1">
        <v>0.31900000000000001</v>
      </c>
      <c r="AC32" s="1">
        <v>0.34</v>
      </c>
      <c r="AD32" s="1">
        <v>1.7999999999999999E-2</v>
      </c>
      <c r="AE32" s="1">
        <v>2.4E-2</v>
      </c>
    </row>
    <row r="33" spans="1:31" x14ac:dyDescent="0.25">
      <c r="A33" t="str">
        <f>B33&amp;VLOOKUP(D33, Lookups!$E$2:$F$8,2,FALSE)&amp;C33</f>
        <v>BreastGP referral80-84</v>
      </c>
      <c r="B33" t="s">
        <v>16</v>
      </c>
      <c r="C33" t="s">
        <v>11</v>
      </c>
      <c r="D33" t="s">
        <v>2</v>
      </c>
      <c r="E33" s="1">
        <v>0.24878993223620524</v>
      </c>
      <c r="F33" s="1">
        <v>3.0009680542110357E-2</v>
      </c>
      <c r="G33" s="1">
        <v>7.2604065827686345E-2</v>
      </c>
      <c r="H33" s="1">
        <v>8.7124878993223628E-3</v>
      </c>
      <c r="I33" s="1">
        <v>0.17424975798644723</v>
      </c>
      <c r="J33" s="1">
        <v>1.2584704743465635E-2</v>
      </c>
      <c r="K33" s="1">
        <v>0.44143272023233299</v>
      </c>
      <c r="L33" s="1">
        <v>1.1616650532429816E-2</v>
      </c>
      <c r="M33" s="1">
        <v>1</v>
      </c>
      <c r="N33" s="2">
        <v>1033</v>
      </c>
      <c r="P33" s="1">
        <v>0.223</v>
      </c>
      <c r="Q33" s="1">
        <v>0.27600000000000002</v>
      </c>
      <c r="R33" s="1">
        <v>2.1000000000000001E-2</v>
      </c>
      <c r="S33" s="1">
        <v>4.2000000000000003E-2</v>
      </c>
      <c r="T33" s="1">
        <v>5.8000000000000003E-2</v>
      </c>
      <c r="U33" s="1">
        <v>0.09</v>
      </c>
      <c r="V33" s="1">
        <v>5.0000000000000001E-3</v>
      </c>
      <c r="W33" s="1">
        <v>1.6E-2</v>
      </c>
      <c r="X33" s="1">
        <v>0.152</v>
      </c>
      <c r="Y33" s="1">
        <v>0.19900000000000001</v>
      </c>
      <c r="Z33" s="1">
        <v>7.0000000000000001E-3</v>
      </c>
      <c r="AA33" s="1">
        <v>2.1000000000000001E-2</v>
      </c>
      <c r="AB33" s="1">
        <v>0.41099999999999998</v>
      </c>
      <c r="AC33" s="1">
        <v>0.47199999999999998</v>
      </c>
      <c r="AD33" s="1">
        <v>7.0000000000000001E-3</v>
      </c>
      <c r="AE33" s="1">
        <v>0.02</v>
      </c>
    </row>
    <row r="34" spans="1:31" x14ac:dyDescent="0.25">
      <c r="A34" t="str">
        <f>B34&amp;VLOOKUP(D34, Lookups!$E$2:$F$8,2,FALSE)&amp;C34</f>
        <v>BreastIP &amp; OP80-84</v>
      </c>
      <c r="B34" t="s">
        <v>16</v>
      </c>
      <c r="C34" t="s">
        <v>11</v>
      </c>
      <c r="D34" t="s">
        <v>32</v>
      </c>
      <c r="E34" s="1">
        <v>0.23664122137404581</v>
      </c>
      <c r="F34" s="1">
        <v>4.9618320610687022E-2</v>
      </c>
      <c r="G34" s="1">
        <v>4.1984732824427481E-2</v>
      </c>
      <c r="H34" s="1">
        <v>1.9083969465648856E-2</v>
      </c>
      <c r="I34" s="1">
        <v>0.19083969465648856</v>
      </c>
      <c r="J34" s="1">
        <v>1.1450381679389313E-2</v>
      </c>
      <c r="K34" s="1">
        <v>0.43129770992366412</v>
      </c>
      <c r="L34" s="1">
        <v>1.9083969465648856E-2</v>
      </c>
      <c r="M34" s="1">
        <v>0.99999999999999989</v>
      </c>
      <c r="N34" s="2">
        <v>262</v>
      </c>
      <c r="P34" s="1">
        <v>0.189</v>
      </c>
      <c r="Q34" s="1">
        <v>0.29199999999999998</v>
      </c>
      <c r="R34" s="1">
        <v>2.9000000000000001E-2</v>
      </c>
      <c r="S34" s="1">
        <v>8.3000000000000004E-2</v>
      </c>
      <c r="T34" s="1">
        <v>2.4E-2</v>
      </c>
      <c r="U34" s="1">
        <v>7.3999999999999996E-2</v>
      </c>
      <c r="V34" s="1">
        <v>8.0000000000000002E-3</v>
      </c>
      <c r="W34" s="1">
        <v>4.3999999999999997E-2</v>
      </c>
      <c r="X34" s="1">
        <v>0.14799999999999999</v>
      </c>
      <c r="Y34" s="1">
        <v>0.24299999999999999</v>
      </c>
      <c r="Z34" s="1">
        <v>4.0000000000000001E-3</v>
      </c>
      <c r="AA34" s="1">
        <v>3.3000000000000002E-2</v>
      </c>
      <c r="AB34" s="1">
        <v>0.373</v>
      </c>
      <c r="AC34" s="1">
        <v>0.49199999999999999</v>
      </c>
      <c r="AD34" s="1">
        <v>8.0000000000000002E-3</v>
      </c>
      <c r="AE34" s="1">
        <v>4.3999999999999997E-2</v>
      </c>
    </row>
    <row r="35" spans="1:31" x14ac:dyDescent="0.25">
      <c r="A35" t="str">
        <f>B35&amp;VLOOKUP(D35, Lookups!$E$2:$F$8,2,FALSE)&amp;C35</f>
        <v>BreastEmergency presentation80-84</v>
      </c>
      <c r="B35" t="s">
        <v>16</v>
      </c>
      <c r="C35" t="s">
        <v>11</v>
      </c>
      <c r="D35" t="s">
        <v>33</v>
      </c>
      <c r="E35" s="1">
        <v>8.1827842720510094E-2</v>
      </c>
      <c r="F35" s="1">
        <v>1.9128586609989374E-2</v>
      </c>
      <c r="G35" s="1">
        <v>7.7577045696068006E-2</v>
      </c>
      <c r="H35" s="1">
        <v>4.2507970244420826E-3</v>
      </c>
      <c r="I35" s="1">
        <v>5.526036131774708E-2</v>
      </c>
      <c r="J35" s="1">
        <v>2.2316684378320937E-2</v>
      </c>
      <c r="K35" s="1">
        <v>0.73645058448459089</v>
      </c>
      <c r="L35" s="1">
        <v>3.188097768331562E-3</v>
      </c>
      <c r="M35" s="1">
        <v>1</v>
      </c>
      <c r="N35" s="2">
        <v>941</v>
      </c>
      <c r="P35" s="1">
        <v>6.6000000000000003E-2</v>
      </c>
      <c r="Q35" s="1">
        <v>0.10100000000000001</v>
      </c>
      <c r="R35" s="1">
        <v>1.2E-2</v>
      </c>
      <c r="S35" s="1">
        <v>0.03</v>
      </c>
      <c r="T35" s="1">
        <v>6.2E-2</v>
      </c>
      <c r="U35" s="1">
        <v>9.6000000000000002E-2</v>
      </c>
      <c r="V35" s="1">
        <v>2E-3</v>
      </c>
      <c r="W35" s="1">
        <v>1.0999999999999999E-2</v>
      </c>
      <c r="X35" s="1">
        <v>4.2000000000000003E-2</v>
      </c>
      <c r="Y35" s="1">
        <v>7.1999999999999995E-2</v>
      </c>
      <c r="Z35" s="1">
        <v>1.4999999999999999E-2</v>
      </c>
      <c r="AA35" s="1">
        <v>3.4000000000000002E-2</v>
      </c>
      <c r="AB35" s="1">
        <v>0.70699999999999996</v>
      </c>
      <c r="AC35" s="1">
        <v>0.76400000000000001</v>
      </c>
      <c r="AD35" s="1">
        <v>1E-3</v>
      </c>
      <c r="AE35" s="1">
        <v>8.9999999999999993E-3</v>
      </c>
    </row>
    <row r="36" spans="1:31" x14ac:dyDescent="0.25">
      <c r="A36" t="str">
        <f>B36&amp;VLOOKUP(D36, Lookups!$E$2:$F$8,2,FALSE)&amp;C36</f>
        <v>BreastUnknown80-84</v>
      </c>
      <c r="B36" t="s">
        <v>16</v>
      </c>
      <c r="C36" t="s">
        <v>11</v>
      </c>
      <c r="D36" t="s">
        <v>4</v>
      </c>
      <c r="E36" s="1">
        <v>0.2608695652173913</v>
      </c>
      <c r="F36" s="1">
        <v>6.2111801242236021E-3</v>
      </c>
      <c r="G36" s="1">
        <v>4.9689440993788817E-2</v>
      </c>
      <c r="H36" s="1">
        <v>0</v>
      </c>
      <c r="I36" s="1">
        <v>0.17391304347826086</v>
      </c>
      <c r="J36" s="1">
        <v>0</v>
      </c>
      <c r="K36" s="1">
        <v>0.49689440993788819</v>
      </c>
      <c r="L36" s="1">
        <v>1.2422360248447204E-2</v>
      </c>
      <c r="M36" s="1">
        <v>1</v>
      </c>
      <c r="N36" s="2">
        <v>161</v>
      </c>
      <c r="P36" s="1">
        <v>0.19900000000000001</v>
      </c>
      <c r="Q36" s="1">
        <v>0.33400000000000002</v>
      </c>
      <c r="R36" s="1">
        <v>1E-3</v>
      </c>
      <c r="S36" s="1">
        <v>3.4000000000000002E-2</v>
      </c>
      <c r="T36" s="1">
        <v>2.5000000000000001E-2</v>
      </c>
      <c r="U36" s="1">
        <v>9.5000000000000001E-2</v>
      </c>
      <c r="V36" s="1">
        <v>0</v>
      </c>
      <c r="W36" s="1">
        <v>2.3E-2</v>
      </c>
      <c r="X36" s="1">
        <v>0.123</v>
      </c>
      <c r="Y36" s="1">
        <v>0.24</v>
      </c>
      <c r="Z36" s="1">
        <v>0</v>
      </c>
      <c r="AA36" s="1">
        <v>2.3E-2</v>
      </c>
      <c r="AB36" s="1">
        <v>0.42099999999999999</v>
      </c>
      <c r="AC36" s="1">
        <v>0.57299999999999995</v>
      </c>
      <c r="AD36" s="1">
        <v>3.0000000000000001E-3</v>
      </c>
      <c r="AE36" s="1">
        <v>4.3999999999999997E-2</v>
      </c>
    </row>
    <row r="37" spans="1:31" x14ac:dyDescent="0.25">
      <c r="A37" t="str">
        <f>B37&amp;VLOOKUP(D37, Lookups!$E$2:$F$8,2,FALSE)&amp;C37</f>
        <v>BreastAll Routes80-84</v>
      </c>
      <c r="B37" t="s">
        <v>16</v>
      </c>
      <c r="C37" t="s">
        <v>11</v>
      </c>
      <c r="D37" t="s">
        <v>34</v>
      </c>
      <c r="E37" s="1">
        <v>0.24677466291589872</v>
      </c>
      <c r="F37" s="1">
        <v>1.6781453099233679E-2</v>
      </c>
      <c r="G37" s="1">
        <v>3.0749830245416627E-2</v>
      </c>
      <c r="H37" s="1">
        <v>8.5362304782229115E-3</v>
      </c>
      <c r="I37" s="1">
        <v>0.3000291007857212</v>
      </c>
      <c r="J37" s="1">
        <v>6.8871859540207588E-3</v>
      </c>
      <c r="K37" s="1">
        <v>0.37200504413619168</v>
      </c>
      <c r="L37" s="1">
        <v>1.8236492385294404E-2</v>
      </c>
      <c r="M37" s="1">
        <v>1</v>
      </c>
      <c r="N37" s="2">
        <v>10309</v>
      </c>
      <c r="P37" s="1">
        <v>0.23899999999999999</v>
      </c>
      <c r="Q37" s="1">
        <v>0.255</v>
      </c>
      <c r="R37" s="1">
        <v>1.4E-2</v>
      </c>
      <c r="S37" s="1">
        <v>1.9E-2</v>
      </c>
      <c r="T37" s="1">
        <v>2.8000000000000001E-2</v>
      </c>
      <c r="U37" s="1">
        <v>3.4000000000000002E-2</v>
      </c>
      <c r="V37" s="1">
        <v>7.0000000000000001E-3</v>
      </c>
      <c r="W37" s="1">
        <v>1.0999999999999999E-2</v>
      </c>
      <c r="X37" s="1">
        <v>0.29099999999999998</v>
      </c>
      <c r="Y37" s="1">
        <v>0.309</v>
      </c>
      <c r="Z37" s="1">
        <v>5.0000000000000001E-3</v>
      </c>
      <c r="AA37" s="1">
        <v>8.9999999999999993E-3</v>
      </c>
      <c r="AB37" s="1">
        <v>0.36299999999999999</v>
      </c>
      <c r="AC37" s="1">
        <v>0.38100000000000001</v>
      </c>
      <c r="AD37" s="1">
        <v>1.6E-2</v>
      </c>
      <c r="AE37" s="1">
        <v>2.1000000000000001E-2</v>
      </c>
    </row>
    <row r="38" spans="1:31" x14ac:dyDescent="0.25">
      <c r="A38" t="str">
        <f>B38&amp;VLOOKUP(D38, Lookups!$E$2:$F$8,2,FALSE)&amp;C38</f>
        <v>BreastScreen detected85+</v>
      </c>
      <c r="B38" t="s">
        <v>16</v>
      </c>
      <c r="C38" t="s">
        <v>12</v>
      </c>
      <c r="D38" t="s">
        <v>30</v>
      </c>
      <c r="E38" s="1">
        <v>0.33333333333333331</v>
      </c>
      <c r="F38" s="1">
        <v>0</v>
      </c>
      <c r="G38" s="1">
        <v>0</v>
      </c>
      <c r="H38" s="1">
        <v>1.1904761904761904E-2</v>
      </c>
      <c r="I38" s="1">
        <v>0.30952380952380953</v>
      </c>
      <c r="J38" s="1">
        <v>0</v>
      </c>
      <c r="K38" s="1">
        <v>0.34523809523809523</v>
      </c>
      <c r="L38" s="1">
        <v>0</v>
      </c>
      <c r="M38" s="1">
        <v>1</v>
      </c>
      <c r="N38" s="2">
        <v>84</v>
      </c>
      <c r="P38" s="1">
        <v>0.24199999999999999</v>
      </c>
      <c r="Q38" s="1">
        <v>0.439</v>
      </c>
      <c r="R38" s="1">
        <v>0</v>
      </c>
      <c r="S38" s="1">
        <v>4.3999999999999997E-2</v>
      </c>
      <c r="T38" s="1">
        <v>0</v>
      </c>
      <c r="U38" s="1">
        <v>4.3999999999999997E-2</v>
      </c>
      <c r="V38" s="1">
        <v>2E-3</v>
      </c>
      <c r="W38" s="1">
        <v>6.4000000000000001E-2</v>
      </c>
      <c r="X38" s="1">
        <v>0.221</v>
      </c>
      <c r="Y38" s="1">
        <v>0.41499999999999998</v>
      </c>
      <c r="Z38" s="1">
        <v>0</v>
      </c>
      <c r="AA38" s="1">
        <v>4.3999999999999997E-2</v>
      </c>
      <c r="AB38" s="1">
        <v>0.252</v>
      </c>
      <c r="AC38" s="1">
        <v>0.45200000000000001</v>
      </c>
      <c r="AD38" s="1">
        <v>0</v>
      </c>
      <c r="AE38" s="1">
        <v>4.3999999999999997E-2</v>
      </c>
    </row>
    <row r="39" spans="1:31" x14ac:dyDescent="0.25">
      <c r="A39" t="str">
        <f>B39&amp;VLOOKUP(D39, Lookups!$E$2:$F$8,2,FALSE)&amp;C39</f>
        <v>BreastTwo Week Wait85+</v>
      </c>
      <c r="B39" t="s">
        <v>16</v>
      </c>
      <c r="C39" t="s">
        <v>12</v>
      </c>
      <c r="D39" t="s">
        <v>31</v>
      </c>
      <c r="E39" s="1">
        <v>0.18667813690549342</v>
      </c>
      <c r="F39" s="1">
        <v>9.8316332800786523E-3</v>
      </c>
      <c r="G39" s="1">
        <v>2.4210396952193684E-2</v>
      </c>
      <c r="H39" s="1">
        <v>1.7205358240137644E-3</v>
      </c>
      <c r="I39" s="1">
        <v>0.12437016099299496</v>
      </c>
      <c r="J39" s="1">
        <v>2.212117488017697E-3</v>
      </c>
      <c r="K39" s="1">
        <v>0.64704436524517639</v>
      </c>
      <c r="L39" s="1">
        <v>3.9326533120314609E-3</v>
      </c>
      <c r="M39" s="1">
        <v>1</v>
      </c>
      <c r="N39" s="2">
        <v>8137</v>
      </c>
      <c r="P39" s="1">
        <v>0.17799999999999999</v>
      </c>
      <c r="Q39" s="1">
        <v>0.19500000000000001</v>
      </c>
      <c r="R39" s="1">
        <v>8.0000000000000002E-3</v>
      </c>
      <c r="S39" s="1">
        <v>1.2E-2</v>
      </c>
      <c r="T39" s="1">
        <v>2.1000000000000001E-2</v>
      </c>
      <c r="U39" s="1">
        <v>2.8000000000000001E-2</v>
      </c>
      <c r="V39" s="1">
        <v>1E-3</v>
      </c>
      <c r="W39" s="1">
        <v>3.0000000000000001E-3</v>
      </c>
      <c r="X39" s="1">
        <v>0.11700000000000001</v>
      </c>
      <c r="Y39" s="1">
        <v>0.13200000000000001</v>
      </c>
      <c r="Z39" s="1">
        <v>1E-3</v>
      </c>
      <c r="AA39" s="1">
        <v>3.0000000000000001E-3</v>
      </c>
      <c r="AB39" s="1">
        <v>0.63700000000000001</v>
      </c>
      <c r="AC39" s="1">
        <v>0.65700000000000003</v>
      </c>
      <c r="AD39" s="1">
        <v>3.0000000000000001E-3</v>
      </c>
      <c r="AE39" s="1">
        <v>6.0000000000000001E-3</v>
      </c>
    </row>
    <row r="40" spans="1:31" x14ac:dyDescent="0.25">
      <c r="A40" t="str">
        <f>B40&amp;VLOOKUP(D40, Lookups!$E$2:$F$8,2,FALSE)&amp;C40</f>
        <v>BreastGP referral85+</v>
      </c>
      <c r="B40" t="s">
        <v>16</v>
      </c>
      <c r="C40" t="s">
        <v>12</v>
      </c>
      <c r="D40" t="s">
        <v>2</v>
      </c>
      <c r="E40" s="1">
        <v>0.15183673469387754</v>
      </c>
      <c r="F40" s="1">
        <v>1.4693877551020407E-2</v>
      </c>
      <c r="G40" s="1">
        <v>4.7346938775510203E-2</v>
      </c>
      <c r="H40" s="1">
        <v>2.4489795918367346E-3</v>
      </c>
      <c r="I40" s="1">
        <v>7.0204081632653056E-2</v>
      </c>
      <c r="J40" s="1">
        <v>2.4489795918367346E-3</v>
      </c>
      <c r="K40" s="1">
        <v>0.70857142857142852</v>
      </c>
      <c r="L40" s="1">
        <v>2.4489795918367346E-3</v>
      </c>
      <c r="M40" s="1">
        <v>1</v>
      </c>
      <c r="N40" s="2">
        <v>1225</v>
      </c>
      <c r="P40" s="1">
        <v>0.13300000000000001</v>
      </c>
      <c r="Q40" s="1">
        <v>0.17299999999999999</v>
      </c>
      <c r="R40" s="1">
        <v>8.9999999999999993E-3</v>
      </c>
      <c r="S40" s="1">
        <v>2.3E-2</v>
      </c>
      <c r="T40" s="1">
        <v>3.6999999999999998E-2</v>
      </c>
      <c r="U40" s="1">
        <v>6.0999999999999999E-2</v>
      </c>
      <c r="V40" s="1">
        <v>1E-3</v>
      </c>
      <c r="W40" s="1">
        <v>7.0000000000000001E-3</v>
      </c>
      <c r="X40" s="1">
        <v>5.7000000000000002E-2</v>
      </c>
      <c r="Y40" s="1">
        <v>8.5999999999999993E-2</v>
      </c>
      <c r="Z40" s="1">
        <v>1E-3</v>
      </c>
      <c r="AA40" s="1">
        <v>7.0000000000000001E-3</v>
      </c>
      <c r="AB40" s="1">
        <v>0.68300000000000005</v>
      </c>
      <c r="AC40" s="1">
        <v>0.73299999999999998</v>
      </c>
      <c r="AD40" s="1">
        <v>1E-3</v>
      </c>
      <c r="AE40" s="1">
        <v>7.0000000000000001E-3</v>
      </c>
    </row>
    <row r="41" spans="1:31" x14ac:dyDescent="0.25">
      <c r="A41" t="str">
        <f>B41&amp;VLOOKUP(D41, Lookups!$E$2:$F$8,2,FALSE)&amp;C41</f>
        <v>BreastIP &amp; OP85+</v>
      </c>
      <c r="B41" t="s">
        <v>16</v>
      </c>
      <c r="C41" t="s">
        <v>12</v>
      </c>
      <c r="D41" t="s">
        <v>32</v>
      </c>
      <c r="E41" s="1">
        <v>0.14930555555555555</v>
      </c>
      <c r="F41" s="1">
        <v>2.0833333333333332E-2</v>
      </c>
      <c r="G41" s="1">
        <v>4.8611111111111112E-2</v>
      </c>
      <c r="H41" s="1">
        <v>3.472222222222222E-3</v>
      </c>
      <c r="I41" s="1">
        <v>4.8611111111111112E-2</v>
      </c>
      <c r="J41" s="1">
        <v>3.472222222222222E-3</v>
      </c>
      <c r="K41" s="1">
        <v>0.72222222222222221</v>
      </c>
      <c r="L41" s="1">
        <v>3.472222222222222E-3</v>
      </c>
      <c r="M41" s="1">
        <v>0.99999999999999989</v>
      </c>
      <c r="N41" s="2">
        <v>288</v>
      </c>
      <c r="P41" s="1">
        <v>0.113</v>
      </c>
      <c r="Q41" s="1">
        <v>0.19500000000000001</v>
      </c>
      <c r="R41" s="1">
        <v>0.01</v>
      </c>
      <c r="S41" s="1">
        <v>4.4999999999999998E-2</v>
      </c>
      <c r="T41" s="1">
        <v>2.9000000000000001E-2</v>
      </c>
      <c r="U41" s="1">
        <v>0.08</v>
      </c>
      <c r="V41" s="1">
        <v>1E-3</v>
      </c>
      <c r="W41" s="1">
        <v>1.9E-2</v>
      </c>
      <c r="X41" s="1">
        <v>2.9000000000000001E-2</v>
      </c>
      <c r="Y41" s="1">
        <v>0.08</v>
      </c>
      <c r="Z41" s="1">
        <v>1E-3</v>
      </c>
      <c r="AA41" s="1">
        <v>1.9E-2</v>
      </c>
      <c r="AB41" s="1">
        <v>0.66800000000000004</v>
      </c>
      <c r="AC41" s="1">
        <v>0.77100000000000002</v>
      </c>
      <c r="AD41" s="1">
        <v>1E-3</v>
      </c>
      <c r="AE41" s="1">
        <v>1.9E-2</v>
      </c>
    </row>
    <row r="42" spans="1:31" x14ac:dyDescent="0.25">
      <c r="A42" t="str">
        <f>B42&amp;VLOOKUP(D42, Lookups!$E$2:$F$8,2,FALSE)&amp;C42</f>
        <v>BreastEmergency presentation85+</v>
      </c>
      <c r="B42" t="s">
        <v>16</v>
      </c>
      <c r="C42" t="s">
        <v>12</v>
      </c>
      <c r="D42" t="s">
        <v>33</v>
      </c>
      <c r="E42" s="1">
        <v>3.6756126021003498E-2</v>
      </c>
      <c r="F42" s="1">
        <v>6.4177362893815633E-3</v>
      </c>
      <c r="G42" s="1">
        <v>4.7841306884480746E-2</v>
      </c>
      <c r="H42" s="1">
        <v>1.750291715285881E-3</v>
      </c>
      <c r="I42" s="1">
        <v>1.8086347724620769E-2</v>
      </c>
      <c r="J42" s="1">
        <v>3.5005834305717621E-3</v>
      </c>
      <c r="K42" s="1">
        <v>0.8856476079346558</v>
      </c>
      <c r="L42" s="1">
        <v>0</v>
      </c>
      <c r="M42" s="1">
        <v>1</v>
      </c>
      <c r="N42" s="2">
        <v>1714</v>
      </c>
      <c r="P42" s="1">
        <v>2.9000000000000001E-2</v>
      </c>
      <c r="Q42" s="1">
        <v>4.7E-2</v>
      </c>
      <c r="R42" s="1">
        <v>4.0000000000000001E-3</v>
      </c>
      <c r="S42" s="1">
        <v>1.0999999999999999E-2</v>
      </c>
      <c r="T42" s="1">
        <v>3.9E-2</v>
      </c>
      <c r="U42" s="1">
        <v>5.8999999999999997E-2</v>
      </c>
      <c r="V42" s="1">
        <v>1E-3</v>
      </c>
      <c r="W42" s="1">
        <v>5.0000000000000001E-3</v>
      </c>
      <c r="X42" s="1">
        <v>1.2999999999999999E-2</v>
      </c>
      <c r="Y42" s="1">
        <v>2.5999999999999999E-2</v>
      </c>
      <c r="Z42" s="1">
        <v>2E-3</v>
      </c>
      <c r="AA42" s="1">
        <v>8.0000000000000002E-3</v>
      </c>
      <c r="AB42" s="1">
        <v>0.87</v>
      </c>
      <c r="AC42" s="1">
        <v>0.9</v>
      </c>
      <c r="AD42" s="1">
        <v>0</v>
      </c>
      <c r="AE42" s="1">
        <v>2E-3</v>
      </c>
    </row>
    <row r="43" spans="1:31" x14ac:dyDescent="0.25">
      <c r="A43" t="str">
        <f>B43&amp;VLOOKUP(D43, Lookups!$E$2:$F$8,2,FALSE)&amp;C43</f>
        <v>BreastUnknown85+</v>
      </c>
      <c r="B43" t="s">
        <v>16</v>
      </c>
      <c r="C43" t="s">
        <v>12</v>
      </c>
      <c r="D43" t="s">
        <v>4</v>
      </c>
      <c r="E43" s="1">
        <v>0.10460251046025104</v>
      </c>
      <c r="F43" s="1">
        <v>8.368200836820083E-3</v>
      </c>
      <c r="G43" s="1">
        <v>2.5104602510460251E-2</v>
      </c>
      <c r="H43" s="1">
        <v>0</v>
      </c>
      <c r="I43" s="1">
        <v>3.3472803347280332E-2</v>
      </c>
      <c r="J43" s="1">
        <v>0</v>
      </c>
      <c r="K43" s="1">
        <v>0.82845188284518834</v>
      </c>
      <c r="L43" s="1">
        <v>0</v>
      </c>
      <c r="M43" s="1">
        <v>1</v>
      </c>
      <c r="N43" s="2">
        <v>239</v>
      </c>
      <c r="P43" s="1">
        <v>7.1999999999999995E-2</v>
      </c>
      <c r="Q43" s="1">
        <v>0.15</v>
      </c>
      <c r="R43" s="1">
        <v>2E-3</v>
      </c>
      <c r="S43" s="1">
        <v>0.03</v>
      </c>
      <c r="T43" s="1">
        <v>1.2E-2</v>
      </c>
      <c r="U43" s="1">
        <v>5.3999999999999999E-2</v>
      </c>
      <c r="V43" s="1">
        <v>0</v>
      </c>
      <c r="W43" s="1">
        <v>1.6E-2</v>
      </c>
      <c r="X43" s="1">
        <v>1.7000000000000001E-2</v>
      </c>
      <c r="Y43" s="1">
        <v>6.5000000000000002E-2</v>
      </c>
      <c r="Z43" s="1">
        <v>0</v>
      </c>
      <c r="AA43" s="1">
        <v>1.6E-2</v>
      </c>
      <c r="AB43" s="1">
        <v>0.77600000000000002</v>
      </c>
      <c r="AC43" s="1">
        <v>0.871</v>
      </c>
      <c r="AD43" s="1">
        <v>0</v>
      </c>
      <c r="AE43" s="1">
        <v>1.6E-2</v>
      </c>
    </row>
    <row r="44" spans="1:31" x14ac:dyDescent="0.25">
      <c r="A44" t="str">
        <f>B44&amp;VLOOKUP(D44, Lookups!$E$2:$F$8,2,FALSE)&amp;C44</f>
        <v>BreastAll Routes85+</v>
      </c>
      <c r="B44" t="s">
        <v>16</v>
      </c>
      <c r="C44" t="s">
        <v>12</v>
      </c>
      <c r="D44" t="s">
        <v>34</v>
      </c>
      <c r="E44" s="1">
        <v>0.15949345426542311</v>
      </c>
      <c r="F44" s="1">
        <v>1.0011123470522803E-2</v>
      </c>
      <c r="G44" s="1">
        <v>3.0546761358774707E-2</v>
      </c>
      <c r="H44" s="1">
        <v>1.8824334730897579E-3</v>
      </c>
      <c r="I44" s="1">
        <v>0.10071019081030204</v>
      </c>
      <c r="J44" s="1">
        <v>2.3958244202960553E-3</v>
      </c>
      <c r="K44" s="1">
        <v>0.69187986651835376</v>
      </c>
      <c r="L44" s="1">
        <v>3.0803456832377858E-3</v>
      </c>
      <c r="M44" s="1">
        <v>1</v>
      </c>
      <c r="N44" s="2">
        <v>11687</v>
      </c>
      <c r="P44" s="1">
        <v>0.153</v>
      </c>
      <c r="Q44" s="1">
        <v>0.16600000000000001</v>
      </c>
      <c r="R44" s="1">
        <v>8.0000000000000002E-3</v>
      </c>
      <c r="S44" s="1">
        <v>1.2E-2</v>
      </c>
      <c r="T44" s="1">
        <v>2.8000000000000001E-2</v>
      </c>
      <c r="U44" s="1">
        <v>3.4000000000000002E-2</v>
      </c>
      <c r="V44" s="1">
        <v>1E-3</v>
      </c>
      <c r="W44" s="1">
        <v>3.0000000000000001E-3</v>
      </c>
      <c r="X44" s="1">
        <v>9.5000000000000001E-2</v>
      </c>
      <c r="Y44" s="1">
        <v>0.106</v>
      </c>
      <c r="Z44" s="1">
        <v>2E-3</v>
      </c>
      <c r="AA44" s="1">
        <v>3.0000000000000001E-3</v>
      </c>
      <c r="AB44" s="1">
        <v>0.68300000000000005</v>
      </c>
      <c r="AC44" s="1">
        <v>0.7</v>
      </c>
      <c r="AD44" s="1">
        <v>2E-3</v>
      </c>
      <c r="AE44" s="1">
        <v>4.0000000000000001E-3</v>
      </c>
    </row>
    <row r="45" spans="1:31" x14ac:dyDescent="0.25">
      <c r="A45" t="str">
        <f>B45&amp;VLOOKUP(D45, Lookups!$E$2:$F$8,2,FALSE)&amp;C45</f>
        <v>ColonScreen detectedUnder 50</v>
      </c>
      <c r="B45" t="s">
        <v>17</v>
      </c>
      <c r="C45" t="s">
        <v>7</v>
      </c>
      <c r="D45" t="s">
        <v>30</v>
      </c>
      <c r="E45" s="1" t="s">
        <v>137</v>
      </c>
      <c r="F45" s="1" t="s">
        <v>137</v>
      </c>
      <c r="G45" s="1" t="s">
        <v>137</v>
      </c>
      <c r="H45" s="1" t="s">
        <v>137</v>
      </c>
      <c r="I45" s="1" t="s">
        <v>137</v>
      </c>
      <c r="J45" s="1" t="s">
        <v>137</v>
      </c>
      <c r="K45" s="1" t="s">
        <v>137</v>
      </c>
      <c r="L45" s="1" t="s">
        <v>137</v>
      </c>
      <c r="M45" s="1">
        <v>0</v>
      </c>
      <c r="N45" s="2">
        <v>0</v>
      </c>
      <c r="P45" s="1" t="e">
        <v>#VALUE!</v>
      </c>
      <c r="Q45" s="1" t="e">
        <v>#VALUE!</v>
      </c>
      <c r="R45" s="1" t="e">
        <v>#VALUE!</v>
      </c>
      <c r="S45" s="1" t="e">
        <v>#VALUE!</v>
      </c>
      <c r="T45" s="1" t="e">
        <v>#VALUE!</v>
      </c>
      <c r="U45" s="1" t="e">
        <v>#VALUE!</v>
      </c>
      <c r="V45" s="1" t="e">
        <v>#VALUE!</v>
      </c>
      <c r="W45" s="1" t="e">
        <v>#VALUE!</v>
      </c>
      <c r="X45" s="1" t="e">
        <v>#VALUE!</v>
      </c>
      <c r="Y45" s="1" t="e">
        <v>#VALUE!</v>
      </c>
      <c r="Z45" s="1" t="e">
        <v>#VALUE!</v>
      </c>
      <c r="AA45" s="1" t="e">
        <v>#VALUE!</v>
      </c>
      <c r="AB45" s="1" t="e">
        <v>#VALUE!</v>
      </c>
      <c r="AC45" s="1" t="e">
        <v>#VALUE!</v>
      </c>
      <c r="AD45" s="1" t="e">
        <v>#VALUE!</v>
      </c>
      <c r="AE45" s="1" t="e">
        <v>#VALUE!</v>
      </c>
    </row>
    <row r="46" spans="1:31" x14ac:dyDescent="0.25">
      <c r="A46" t="str">
        <f>B46&amp;VLOOKUP(D46, Lookups!$E$2:$F$8,2,FALSE)&amp;C46</f>
        <v>ColonTwo Week WaitUnder 50</v>
      </c>
      <c r="B46" t="s">
        <v>17</v>
      </c>
      <c r="C46" t="s">
        <v>7</v>
      </c>
      <c r="D46" t="s">
        <v>31</v>
      </c>
      <c r="E46" s="1">
        <v>0.26212121212121214</v>
      </c>
      <c r="F46" s="1">
        <v>0.17272727272727273</v>
      </c>
      <c r="G46" s="1">
        <v>0</v>
      </c>
      <c r="H46" s="1">
        <v>0.45909090909090911</v>
      </c>
      <c r="I46" s="1">
        <v>0</v>
      </c>
      <c r="J46" s="1">
        <v>4.0909090909090909E-2</v>
      </c>
      <c r="K46" s="1">
        <v>4.5454545454545456E-2</v>
      </c>
      <c r="L46" s="1">
        <v>1.9696969696969695E-2</v>
      </c>
      <c r="M46" s="1">
        <v>1</v>
      </c>
      <c r="N46" s="2">
        <v>660</v>
      </c>
      <c r="P46" s="1">
        <v>0.23</v>
      </c>
      <c r="Q46" s="1">
        <v>0.29699999999999999</v>
      </c>
      <c r="R46" s="1">
        <v>0.14599999999999999</v>
      </c>
      <c r="S46" s="1">
        <v>0.20300000000000001</v>
      </c>
      <c r="T46" s="1">
        <v>0</v>
      </c>
      <c r="U46" s="1">
        <v>6.0000000000000001E-3</v>
      </c>
      <c r="V46" s="1">
        <v>0.42099999999999999</v>
      </c>
      <c r="W46" s="1">
        <v>0.497</v>
      </c>
      <c r="X46" s="1">
        <v>0</v>
      </c>
      <c r="Y46" s="1">
        <v>6.0000000000000001E-3</v>
      </c>
      <c r="Z46" s="1">
        <v>2.8000000000000001E-2</v>
      </c>
      <c r="AA46" s="1">
        <v>5.8999999999999997E-2</v>
      </c>
      <c r="AB46" s="1">
        <v>3.2000000000000001E-2</v>
      </c>
      <c r="AC46" s="1">
        <v>6.4000000000000001E-2</v>
      </c>
      <c r="AD46" s="1">
        <v>1.2E-2</v>
      </c>
      <c r="AE46" s="1">
        <v>3.3000000000000002E-2</v>
      </c>
    </row>
    <row r="47" spans="1:31" x14ac:dyDescent="0.25">
      <c r="A47" t="str">
        <f>B47&amp;VLOOKUP(D47, Lookups!$E$2:$F$8,2,FALSE)&amp;C47</f>
        <v>ColonGP referralUnder 50</v>
      </c>
      <c r="B47" t="s">
        <v>17</v>
      </c>
      <c r="C47" t="s">
        <v>7</v>
      </c>
      <c r="D47" t="s">
        <v>2</v>
      </c>
      <c r="E47" s="1">
        <v>0.30133079847908745</v>
      </c>
      <c r="F47" s="1">
        <v>0.11311787072243346</v>
      </c>
      <c r="G47" s="1">
        <v>9.5057034220532319E-4</v>
      </c>
      <c r="H47" s="1">
        <v>0.42015209125475284</v>
      </c>
      <c r="I47" s="1">
        <v>1.9011406844106464E-3</v>
      </c>
      <c r="J47" s="1">
        <v>2.7566539923954372E-2</v>
      </c>
      <c r="K47" s="1">
        <v>0.11216730038022814</v>
      </c>
      <c r="L47" s="1">
        <v>2.2813688212927757E-2</v>
      </c>
      <c r="M47" s="1">
        <v>0.99999999999999989</v>
      </c>
      <c r="N47" s="2">
        <v>1052</v>
      </c>
      <c r="P47" s="1">
        <v>0.27400000000000002</v>
      </c>
      <c r="Q47" s="1">
        <v>0.33</v>
      </c>
      <c r="R47" s="1">
        <v>9.5000000000000001E-2</v>
      </c>
      <c r="S47" s="1">
        <v>0.13400000000000001</v>
      </c>
      <c r="T47" s="1">
        <v>0</v>
      </c>
      <c r="U47" s="1">
        <v>5.0000000000000001E-3</v>
      </c>
      <c r="V47" s="1">
        <v>0.39100000000000001</v>
      </c>
      <c r="W47" s="1">
        <v>0.45</v>
      </c>
      <c r="X47" s="1">
        <v>1E-3</v>
      </c>
      <c r="Y47" s="1">
        <v>7.0000000000000001E-3</v>
      </c>
      <c r="Z47" s="1">
        <v>1.9E-2</v>
      </c>
      <c r="AA47" s="1">
        <v>3.9E-2</v>
      </c>
      <c r="AB47" s="1">
        <v>9.4E-2</v>
      </c>
      <c r="AC47" s="1">
        <v>0.13300000000000001</v>
      </c>
      <c r="AD47" s="1">
        <v>1.4999999999999999E-2</v>
      </c>
      <c r="AE47" s="1">
        <v>3.4000000000000002E-2</v>
      </c>
    </row>
    <row r="48" spans="1:31" x14ac:dyDescent="0.25">
      <c r="A48" t="str">
        <f>B48&amp;VLOOKUP(D48, Lookups!$E$2:$F$8,2,FALSE)&amp;C48</f>
        <v>ColonIP &amp; OPUnder 50</v>
      </c>
      <c r="B48" t="s">
        <v>17</v>
      </c>
      <c r="C48" t="s">
        <v>7</v>
      </c>
      <c r="D48" t="s">
        <v>32</v>
      </c>
      <c r="E48" s="1">
        <v>0.28758169934640521</v>
      </c>
      <c r="F48" s="1">
        <v>0.14052287581699346</v>
      </c>
      <c r="G48" s="1">
        <v>3.2679738562091504E-3</v>
      </c>
      <c r="H48" s="1">
        <v>0.40032679738562094</v>
      </c>
      <c r="I48" s="1">
        <v>3.2679738562091504E-3</v>
      </c>
      <c r="J48" s="1">
        <v>2.7777777777777776E-2</v>
      </c>
      <c r="K48" s="1">
        <v>0.12418300653594772</v>
      </c>
      <c r="L48" s="1">
        <v>1.3071895424836602E-2</v>
      </c>
      <c r="M48" s="1">
        <v>0.99999999999999989</v>
      </c>
      <c r="N48" s="2">
        <v>612</v>
      </c>
      <c r="P48" s="1">
        <v>0.253</v>
      </c>
      <c r="Q48" s="1">
        <v>0.32500000000000001</v>
      </c>
      <c r="R48" s="1">
        <v>0.115</v>
      </c>
      <c r="S48" s="1">
        <v>0.17</v>
      </c>
      <c r="T48" s="1">
        <v>1E-3</v>
      </c>
      <c r="U48" s="1">
        <v>1.2E-2</v>
      </c>
      <c r="V48" s="1">
        <v>0.36199999999999999</v>
      </c>
      <c r="W48" s="1">
        <v>0.44</v>
      </c>
      <c r="X48" s="1">
        <v>1E-3</v>
      </c>
      <c r="Y48" s="1">
        <v>1.2E-2</v>
      </c>
      <c r="Z48" s="1">
        <v>1.7000000000000001E-2</v>
      </c>
      <c r="AA48" s="1">
        <v>4.3999999999999997E-2</v>
      </c>
      <c r="AB48" s="1">
        <v>0.1</v>
      </c>
      <c r="AC48" s="1">
        <v>0.153</v>
      </c>
      <c r="AD48" s="1">
        <v>7.0000000000000001E-3</v>
      </c>
      <c r="AE48" s="1">
        <v>2.5999999999999999E-2</v>
      </c>
    </row>
    <row r="49" spans="1:31" x14ac:dyDescent="0.25">
      <c r="A49" t="str">
        <f>B49&amp;VLOOKUP(D49, Lookups!$E$2:$F$8,2,FALSE)&amp;C49</f>
        <v>ColonEmergency presentationUnder 50</v>
      </c>
      <c r="B49" t="s">
        <v>17</v>
      </c>
      <c r="C49" t="s">
        <v>7</v>
      </c>
      <c r="D49" t="s">
        <v>33</v>
      </c>
      <c r="E49" s="1">
        <v>0.2351175587793897</v>
      </c>
      <c r="F49" s="1">
        <v>8.3041520760380197E-2</v>
      </c>
      <c r="G49" s="1">
        <v>3.5017508754377189E-3</v>
      </c>
      <c r="H49" s="1">
        <v>0.32416208104052024</v>
      </c>
      <c r="I49" s="1">
        <v>1.0005002501250625E-3</v>
      </c>
      <c r="J49" s="1">
        <v>1.7008504252126064E-2</v>
      </c>
      <c r="K49" s="1">
        <v>0.31915957978989495</v>
      </c>
      <c r="L49" s="1">
        <v>1.7008504252126064E-2</v>
      </c>
      <c r="M49" s="1">
        <v>1</v>
      </c>
      <c r="N49" s="2">
        <v>1999</v>
      </c>
      <c r="P49" s="1">
        <v>0.217</v>
      </c>
      <c r="Q49" s="1">
        <v>0.254</v>
      </c>
      <c r="R49" s="1">
        <v>7.1999999999999995E-2</v>
      </c>
      <c r="S49" s="1">
        <v>9.6000000000000002E-2</v>
      </c>
      <c r="T49" s="1">
        <v>2E-3</v>
      </c>
      <c r="U49" s="1">
        <v>7.0000000000000001E-3</v>
      </c>
      <c r="V49" s="1">
        <v>0.30399999999999999</v>
      </c>
      <c r="W49" s="1">
        <v>0.34499999999999997</v>
      </c>
      <c r="X49" s="1">
        <v>0</v>
      </c>
      <c r="Y49" s="1">
        <v>4.0000000000000001E-3</v>
      </c>
      <c r="Z49" s="1">
        <v>1.2E-2</v>
      </c>
      <c r="AA49" s="1">
        <v>2.4E-2</v>
      </c>
      <c r="AB49" s="1">
        <v>0.29899999999999999</v>
      </c>
      <c r="AC49" s="1">
        <v>0.34</v>
      </c>
      <c r="AD49" s="1">
        <v>1.2E-2</v>
      </c>
      <c r="AE49" s="1">
        <v>2.4E-2</v>
      </c>
    </row>
    <row r="50" spans="1:31" x14ac:dyDescent="0.25">
      <c r="A50" t="str">
        <f>B50&amp;VLOOKUP(D50, Lookups!$E$2:$F$8,2,FALSE)&amp;C50</f>
        <v>ColonUnknownUnder 50</v>
      </c>
      <c r="B50" t="s">
        <v>17</v>
      </c>
      <c r="C50" t="s">
        <v>7</v>
      </c>
      <c r="D50" t="s">
        <v>4</v>
      </c>
      <c r="E50" s="1">
        <v>0.27319587628865977</v>
      </c>
      <c r="F50" s="1">
        <v>0.11855670103092783</v>
      </c>
      <c r="G50" s="1">
        <v>5.1546391752577319E-3</v>
      </c>
      <c r="H50" s="1">
        <v>0.16494845360824742</v>
      </c>
      <c r="I50" s="1">
        <v>0</v>
      </c>
      <c r="J50" s="1">
        <v>3.608247422680412E-2</v>
      </c>
      <c r="K50" s="1">
        <v>0.39690721649484534</v>
      </c>
      <c r="L50" s="1">
        <v>5.1546391752577319E-3</v>
      </c>
      <c r="M50" s="1">
        <v>0.99999999999999978</v>
      </c>
      <c r="N50" s="2">
        <v>194</v>
      </c>
      <c r="P50" s="1">
        <v>0.215</v>
      </c>
      <c r="Q50" s="1">
        <v>0.34</v>
      </c>
      <c r="R50" s="1">
        <v>0.08</v>
      </c>
      <c r="S50" s="1">
        <v>0.17199999999999999</v>
      </c>
      <c r="T50" s="1">
        <v>1E-3</v>
      </c>
      <c r="U50" s="1">
        <v>2.9000000000000001E-2</v>
      </c>
      <c r="V50" s="1">
        <v>0.11899999999999999</v>
      </c>
      <c r="W50" s="1">
        <v>0.224</v>
      </c>
      <c r="X50" s="1">
        <v>0</v>
      </c>
      <c r="Y50" s="1">
        <v>1.9E-2</v>
      </c>
      <c r="Z50" s="1">
        <v>1.7999999999999999E-2</v>
      </c>
      <c r="AA50" s="1">
        <v>7.2999999999999995E-2</v>
      </c>
      <c r="AB50" s="1">
        <v>0.33100000000000002</v>
      </c>
      <c r="AC50" s="1">
        <v>0.46700000000000003</v>
      </c>
      <c r="AD50" s="1">
        <v>1E-3</v>
      </c>
      <c r="AE50" s="1">
        <v>2.9000000000000001E-2</v>
      </c>
    </row>
    <row r="51" spans="1:31" x14ac:dyDescent="0.25">
      <c r="A51" t="str">
        <f>B51&amp;VLOOKUP(D51, Lookups!$E$2:$F$8,2,FALSE)&amp;C51</f>
        <v>ColonAll RoutesUnder 50</v>
      </c>
      <c r="B51" t="s">
        <v>17</v>
      </c>
      <c r="C51" t="s">
        <v>7</v>
      </c>
      <c r="D51" t="s">
        <v>34</v>
      </c>
      <c r="E51" s="1">
        <v>0.26322780606597301</v>
      </c>
      <c r="F51" s="1">
        <v>0.11246402479521807</v>
      </c>
      <c r="G51" s="1">
        <v>2.4352446313925173E-3</v>
      </c>
      <c r="H51" s="1">
        <v>0.36971441222050033</v>
      </c>
      <c r="I51" s="1">
        <v>1.3283152534868275E-3</v>
      </c>
      <c r="J51" s="1">
        <v>2.5237989816249723E-2</v>
      </c>
      <c r="K51" s="1">
        <v>0.20788133717068852</v>
      </c>
      <c r="L51" s="1">
        <v>1.7710870046491033E-2</v>
      </c>
      <c r="M51" s="1">
        <v>1</v>
      </c>
      <c r="N51" s="2">
        <v>4517</v>
      </c>
      <c r="P51" s="1">
        <v>0.251</v>
      </c>
      <c r="Q51" s="1">
        <v>0.27600000000000002</v>
      </c>
      <c r="R51" s="1">
        <v>0.104</v>
      </c>
      <c r="S51" s="1">
        <v>0.122</v>
      </c>
      <c r="T51" s="1">
        <v>1E-3</v>
      </c>
      <c r="U51" s="1">
        <v>4.0000000000000001E-3</v>
      </c>
      <c r="V51" s="1">
        <v>0.35599999999999998</v>
      </c>
      <c r="W51" s="1">
        <v>0.38400000000000001</v>
      </c>
      <c r="X51" s="1">
        <v>1E-3</v>
      </c>
      <c r="Y51" s="1">
        <v>3.0000000000000001E-3</v>
      </c>
      <c r="Z51" s="1">
        <v>2.1000000000000001E-2</v>
      </c>
      <c r="AA51" s="1">
        <v>0.03</v>
      </c>
      <c r="AB51" s="1">
        <v>0.19600000000000001</v>
      </c>
      <c r="AC51" s="1">
        <v>0.22</v>
      </c>
      <c r="AD51" s="1">
        <v>1.4E-2</v>
      </c>
      <c r="AE51" s="1">
        <v>2.1999999999999999E-2</v>
      </c>
    </row>
    <row r="52" spans="1:31" x14ac:dyDescent="0.25">
      <c r="A52" t="str">
        <f>B52&amp;VLOOKUP(D52, Lookups!$E$2:$F$8,2,FALSE)&amp;C52</f>
        <v>ColonScreen detected50-59</v>
      </c>
      <c r="B52" t="s">
        <v>17</v>
      </c>
      <c r="C52" t="s">
        <v>8</v>
      </c>
      <c r="D52" t="s">
        <v>30</v>
      </c>
      <c r="E52" s="1">
        <v>0.69230769230769229</v>
      </c>
      <c r="F52" s="1">
        <v>0.11538461538461539</v>
      </c>
      <c r="G52" s="1">
        <v>0</v>
      </c>
      <c r="H52" s="1">
        <v>0.15384615384615385</v>
      </c>
      <c r="I52" s="1">
        <v>0</v>
      </c>
      <c r="J52" s="1">
        <v>0</v>
      </c>
      <c r="K52" s="1">
        <v>3.8461538461538464E-2</v>
      </c>
      <c r="L52" s="1">
        <v>0</v>
      </c>
      <c r="M52" s="1">
        <v>1</v>
      </c>
      <c r="N52" s="2">
        <v>26</v>
      </c>
      <c r="P52" s="1">
        <v>0.5</v>
      </c>
      <c r="Q52" s="1">
        <v>0.83499999999999996</v>
      </c>
      <c r="R52" s="1">
        <v>0.04</v>
      </c>
      <c r="S52" s="1">
        <v>0.28999999999999998</v>
      </c>
      <c r="T52" s="1">
        <v>0</v>
      </c>
      <c r="U52" s="1">
        <v>0.129</v>
      </c>
      <c r="V52" s="1">
        <v>6.0999999999999999E-2</v>
      </c>
      <c r="W52" s="1">
        <v>0.33500000000000002</v>
      </c>
      <c r="X52" s="1">
        <v>0</v>
      </c>
      <c r="Y52" s="1">
        <v>0.129</v>
      </c>
      <c r="Z52" s="1">
        <v>0</v>
      </c>
      <c r="AA52" s="1">
        <v>0.129</v>
      </c>
      <c r="AB52" s="1">
        <v>7.0000000000000001E-3</v>
      </c>
      <c r="AC52" s="1">
        <v>0.189</v>
      </c>
      <c r="AD52" s="1">
        <v>0</v>
      </c>
      <c r="AE52" s="1">
        <v>0.129</v>
      </c>
    </row>
    <row r="53" spans="1:31" x14ac:dyDescent="0.25">
      <c r="A53" t="str">
        <f>B53&amp;VLOOKUP(D53, Lookups!$E$2:$F$8,2,FALSE)&amp;C53</f>
        <v>ColonTwo Week Wait50-59</v>
      </c>
      <c r="B53" t="s">
        <v>17</v>
      </c>
      <c r="C53" t="s">
        <v>8</v>
      </c>
      <c r="D53" t="s">
        <v>31</v>
      </c>
      <c r="E53" s="1">
        <v>0.3176783340717767</v>
      </c>
      <c r="F53" s="1">
        <v>0.15507310589277803</v>
      </c>
      <c r="G53" s="1">
        <v>4.4306601683650861E-3</v>
      </c>
      <c r="H53" s="1">
        <v>0.42224191404519273</v>
      </c>
      <c r="I53" s="1">
        <v>3.544528134692069E-3</v>
      </c>
      <c r="J53" s="1">
        <v>3.1900753212228621E-2</v>
      </c>
      <c r="K53" s="1">
        <v>4.0762073548958798E-2</v>
      </c>
      <c r="L53" s="1">
        <v>2.4368630926007974E-2</v>
      </c>
      <c r="M53" s="1">
        <v>0.99999999999999989</v>
      </c>
      <c r="N53" s="2">
        <v>2257</v>
      </c>
      <c r="P53" s="1">
        <v>0.29899999999999999</v>
      </c>
      <c r="Q53" s="1">
        <v>0.33700000000000002</v>
      </c>
      <c r="R53" s="1">
        <v>0.14099999999999999</v>
      </c>
      <c r="S53" s="1">
        <v>0.17100000000000001</v>
      </c>
      <c r="T53" s="1">
        <v>2E-3</v>
      </c>
      <c r="U53" s="1">
        <v>8.0000000000000002E-3</v>
      </c>
      <c r="V53" s="1">
        <v>0.40200000000000002</v>
      </c>
      <c r="W53" s="1">
        <v>0.443</v>
      </c>
      <c r="X53" s="1">
        <v>2E-3</v>
      </c>
      <c r="Y53" s="1">
        <v>7.0000000000000001E-3</v>
      </c>
      <c r="Z53" s="1">
        <v>2.5000000000000001E-2</v>
      </c>
      <c r="AA53" s="1">
        <v>0.04</v>
      </c>
      <c r="AB53" s="1">
        <v>3.3000000000000002E-2</v>
      </c>
      <c r="AC53" s="1">
        <v>0.05</v>
      </c>
      <c r="AD53" s="1">
        <v>1.9E-2</v>
      </c>
      <c r="AE53" s="1">
        <v>3.2000000000000001E-2</v>
      </c>
    </row>
    <row r="54" spans="1:31" x14ac:dyDescent="0.25">
      <c r="A54" t="str">
        <f>B54&amp;VLOOKUP(D54, Lookups!$E$2:$F$8,2,FALSE)&amp;C54</f>
        <v>ColonGP referral50-59</v>
      </c>
      <c r="B54" t="s">
        <v>17</v>
      </c>
      <c r="C54" t="s">
        <v>8</v>
      </c>
      <c r="D54" t="s">
        <v>2</v>
      </c>
      <c r="E54" s="1">
        <v>0.37377892030848331</v>
      </c>
      <c r="F54" s="1">
        <v>0.11773778920308484</v>
      </c>
      <c r="G54" s="1">
        <v>4.6272493573264782E-3</v>
      </c>
      <c r="H54" s="1">
        <v>0.37480719794344475</v>
      </c>
      <c r="I54" s="1">
        <v>3.5989717223650387E-3</v>
      </c>
      <c r="J54" s="1">
        <v>2.7249357326478148E-2</v>
      </c>
      <c r="K54" s="1">
        <v>7.7634961439588687E-2</v>
      </c>
      <c r="L54" s="1">
        <v>2.056555269922879E-2</v>
      </c>
      <c r="M54" s="1">
        <v>1</v>
      </c>
      <c r="N54" s="2">
        <v>1945</v>
      </c>
      <c r="P54" s="1">
        <v>0.35299999999999998</v>
      </c>
      <c r="Q54" s="1">
        <v>0.39600000000000002</v>
      </c>
      <c r="R54" s="1">
        <v>0.104</v>
      </c>
      <c r="S54" s="1">
        <v>0.13300000000000001</v>
      </c>
      <c r="T54" s="1">
        <v>2E-3</v>
      </c>
      <c r="U54" s="1">
        <v>8.9999999999999993E-3</v>
      </c>
      <c r="V54" s="1">
        <v>0.35399999999999998</v>
      </c>
      <c r="W54" s="1">
        <v>0.39700000000000002</v>
      </c>
      <c r="X54" s="1">
        <v>2E-3</v>
      </c>
      <c r="Y54" s="1">
        <v>7.0000000000000001E-3</v>
      </c>
      <c r="Z54" s="1">
        <v>2.1000000000000001E-2</v>
      </c>
      <c r="AA54" s="1">
        <v>3.5000000000000003E-2</v>
      </c>
      <c r="AB54" s="1">
        <v>6.7000000000000004E-2</v>
      </c>
      <c r="AC54" s="1">
        <v>0.09</v>
      </c>
      <c r="AD54" s="1">
        <v>1.4999999999999999E-2</v>
      </c>
      <c r="AE54" s="1">
        <v>2.8000000000000001E-2</v>
      </c>
    </row>
    <row r="55" spans="1:31" x14ac:dyDescent="0.25">
      <c r="A55" t="str">
        <f>B55&amp;VLOOKUP(D55, Lookups!$E$2:$F$8,2,FALSE)&amp;C55</f>
        <v>ColonIP &amp; OP50-59</v>
      </c>
      <c r="B55" t="s">
        <v>17</v>
      </c>
      <c r="C55" t="s">
        <v>8</v>
      </c>
      <c r="D55" t="s">
        <v>32</v>
      </c>
      <c r="E55" s="1">
        <v>0.37244897959183676</v>
      </c>
      <c r="F55" s="1">
        <v>0.12040816326530612</v>
      </c>
      <c r="G55" s="1">
        <v>6.1224489795918364E-3</v>
      </c>
      <c r="H55" s="1">
        <v>0.36224489795918369</v>
      </c>
      <c r="I55" s="1">
        <v>4.0816326530612249E-3</v>
      </c>
      <c r="J55" s="1">
        <v>2.0408163265306121E-2</v>
      </c>
      <c r="K55" s="1">
        <v>9.285714285714286E-2</v>
      </c>
      <c r="L55" s="1">
        <v>2.1428571428571429E-2</v>
      </c>
      <c r="M55" s="1">
        <v>1.0000000000000002</v>
      </c>
      <c r="N55" s="2">
        <v>980</v>
      </c>
      <c r="P55" s="1">
        <v>0.34300000000000003</v>
      </c>
      <c r="Q55" s="1">
        <v>0.40300000000000002</v>
      </c>
      <c r="R55" s="1">
        <v>0.10199999999999999</v>
      </c>
      <c r="S55" s="1">
        <v>0.14199999999999999</v>
      </c>
      <c r="T55" s="1">
        <v>3.0000000000000001E-3</v>
      </c>
      <c r="U55" s="1">
        <v>1.2999999999999999E-2</v>
      </c>
      <c r="V55" s="1">
        <v>0.33300000000000002</v>
      </c>
      <c r="W55" s="1">
        <v>0.39300000000000002</v>
      </c>
      <c r="X55" s="1">
        <v>2E-3</v>
      </c>
      <c r="Y55" s="1">
        <v>0.01</v>
      </c>
      <c r="Z55" s="1">
        <v>1.2999999999999999E-2</v>
      </c>
      <c r="AA55" s="1">
        <v>3.1E-2</v>
      </c>
      <c r="AB55" s="1">
        <v>7.5999999999999998E-2</v>
      </c>
      <c r="AC55" s="1">
        <v>0.113</v>
      </c>
      <c r="AD55" s="1">
        <v>1.4E-2</v>
      </c>
      <c r="AE55" s="1">
        <v>3.3000000000000002E-2</v>
      </c>
    </row>
    <row r="56" spans="1:31" x14ac:dyDescent="0.25">
      <c r="A56" t="str">
        <f>B56&amp;VLOOKUP(D56, Lookups!$E$2:$F$8,2,FALSE)&amp;C56</f>
        <v>ColonEmergency presentation50-59</v>
      </c>
      <c r="B56" t="s">
        <v>17</v>
      </c>
      <c r="C56" t="s">
        <v>8</v>
      </c>
      <c r="D56" t="s">
        <v>33</v>
      </c>
      <c r="E56" s="1">
        <v>0.23326467559217301</v>
      </c>
      <c r="F56" s="1">
        <v>0.11894953656024716</v>
      </c>
      <c r="G56" s="1">
        <v>1.0298661174047374E-2</v>
      </c>
      <c r="H56" s="1">
        <v>0.45726055612770339</v>
      </c>
      <c r="I56" s="1">
        <v>3.089598352214212E-3</v>
      </c>
      <c r="J56" s="1">
        <v>1.5447991761071062E-2</v>
      </c>
      <c r="K56" s="1">
        <v>0.14469618949536561</v>
      </c>
      <c r="L56" s="1">
        <v>1.6992790937178166E-2</v>
      </c>
      <c r="M56" s="1">
        <v>1</v>
      </c>
      <c r="N56" s="2">
        <v>1942</v>
      </c>
      <c r="P56" s="1">
        <v>0.215</v>
      </c>
      <c r="Q56" s="1">
        <v>0.253</v>
      </c>
      <c r="R56" s="1">
        <v>0.105</v>
      </c>
      <c r="S56" s="1">
        <v>0.13400000000000001</v>
      </c>
      <c r="T56" s="1">
        <v>7.0000000000000001E-3</v>
      </c>
      <c r="U56" s="1">
        <v>1.6E-2</v>
      </c>
      <c r="V56" s="1">
        <v>0.435</v>
      </c>
      <c r="W56" s="1">
        <v>0.47899999999999998</v>
      </c>
      <c r="X56" s="1">
        <v>1E-3</v>
      </c>
      <c r="Y56" s="1">
        <v>7.0000000000000001E-3</v>
      </c>
      <c r="Z56" s="1">
        <v>1.0999999999999999E-2</v>
      </c>
      <c r="AA56" s="1">
        <v>2.1999999999999999E-2</v>
      </c>
      <c r="AB56" s="1">
        <v>0.13</v>
      </c>
      <c r="AC56" s="1">
        <v>0.161</v>
      </c>
      <c r="AD56" s="1">
        <v>1.2E-2</v>
      </c>
      <c r="AE56" s="1">
        <v>2.4E-2</v>
      </c>
    </row>
    <row r="57" spans="1:31" x14ac:dyDescent="0.25">
      <c r="A57" t="str">
        <f>B57&amp;VLOOKUP(D57, Lookups!$E$2:$F$8,2,FALSE)&amp;C57</f>
        <v>ColonUnknown50-59</v>
      </c>
      <c r="B57" t="s">
        <v>17</v>
      </c>
      <c r="C57" t="s">
        <v>8</v>
      </c>
      <c r="D57" t="s">
        <v>4</v>
      </c>
      <c r="E57" s="1">
        <v>0.37857142857142856</v>
      </c>
      <c r="F57" s="1">
        <v>0.10714285714285714</v>
      </c>
      <c r="G57" s="1">
        <v>7.1428571428571426E-3</v>
      </c>
      <c r="H57" s="1">
        <v>0.20357142857142857</v>
      </c>
      <c r="I57" s="1">
        <v>0</v>
      </c>
      <c r="J57" s="1">
        <v>1.0714285714285714E-2</v>
      </c>
      <c r="K57" s="1">
        <v>0.28214285714285714</v>
      </c>
      <c r="L57" s="1">
        <v>1.0714285714285714E-2</v>
      </c>
      <c r="M57" s="1">
        <v>0.99999999999999989</v>
      </c>
      <c r="N57" s="2">
        <v>280</v>
      </c>
      <c r="P57" s="1">
        <v>0.32400000000000001</v>
      </c>
      <c r="Q57" s="1">
        <v>0.437</v>
      </c>
      <c r="R57" s="1">
        <v>7.5999999999999998E-2</v>
      </c>
      <c r="S57" s="1">
        <v>0.14899999999999999</v>
      </c>
      <c r="T57" s="1">
        <v>2E-3</v>
      </c>
      <c r="U57" s="1">
        <v>2.5999999999999999E-2</v>
      </c>
      <c r="V57" s="1">
        <v>0.161</v>
      </c>
      <c r="W57" s="1">
        <v>0.255</v>
      </c>
      <c r="X57" s="1">
        <v>0</v>
      </c>
      <c r="Y57" s="1">
        <v>1.4E-2</v>
      </c>
      <c r="Z57" s="1">
        <v>4.0000000000000001E-3</v>
      </c>
      <c r="AA57" s="1">
        <v>3.1E-2</v>
      </c>
      <c r="AB57" s="1">
        <v>0.23300000000000001</v>
      </c>
      <c r="AC57" s="1">
        <v>0.33800000000000002</v>
      </c>
      <c r="AD57" s="1">
        <v>4.0000000000000001E-3</v>
      </c>
      <c r="AE57" s="1">
        <v>3.1E-2</v>
      </c>
    </row>
    <row r="58" spans="1:31" x14ac:dyDescent="0.25">
      <c r="A58" t="str">
        <f>B58&amp;VLOOKUP(D58, Lookups!$E$2:$F$8,2,FALSE)&amp;C58</f>
        <v>ColonAll Routes50-59</v>
      </c>
      <c r="B58" t="s">
        <v>17</v>
      </c>
      <c r="C58" t="s">
        <v>8</v>
      </c>
      <c r="D58" t="s">
        <v>34</v>
      </c>
      <c r="E58" s="1">
        <v>0.32113055181695827</v>
      </c>
      <c r="F58" s="1">
        <v>0.12934051144010766</v>
      </c>
      <c r="G58" s="1">
        <v>6.3257065948855986E-3</v>
      </c>
      <c r="H58" s="1">
        <v>0.4018842530282638</v>
      </c>
      <c r="I58" s="1">
        <v>3.3647375504710633E-3</v>
      </c>
      <c r="J58" s="1">
        <v>2.3956931359353971E-2</v>
      </c>
      <c r="K58" s="1">
        <v>9.3539703903095558E-2</v>
      </c>
      <c r="L58" s="1">
        <v>2.0457604306864066E-2</v>
      </c>
      <c r="M58" s="1">
        <v>0.99999999999999989</v>
      </c>
      <c r="N58" s="2">
        <v>7430</v>
      </c>
      <c r="P58" s="1">
        <v>0.311</v>
      </c>
      <c r="Q58" s="1">
        <v>0.33200000000000002</v>
      </c>
      <c r="R58" s="1">
        <v>0.122</v>
      </c>
      <c r="S58" s="1">
        <v>0.13700000000000001</v>
      </c>
      <c r="T58" s="1">
        <v>5.0000000000000001E-3</v>
      </c>
      <c r="U58" s="1">
        <v>8.0000000000000002E-3</v>
      </c>
      <c r="V58" s="1">
        <v>0.39100000000000001</v>
      </c>
      <c r="W58" s="1">
        <v>0.41299999999999998</v>
      </c>
      <c r="X58" s="1">
        <v>2E-3</v>
      </c>
      <c r="Y58" s="1">
        <v>5.0000000000000001E-3</v>
      </c>
      <c r="Z58" s="1">
        <v>2.1000000000000001E-2</v>
      </c>
      <c r="AA58" s="1">
        <v>2.8000000000000001E-2</v>
      </c>
      <c r="AB58" s="1">
        <v>8.6999999999999994E-2</v>
      </c>
      <c r="AC58" s="1">
        <v>0.1</v>
      </c>
      <c r="AD58" s="1">
        <v>1.7000000000000001E-2</v>
      </c>
      <c r="AE58" s="1">
        <v>2.4E-2</v>
      </c>
    </row>
    <row r="59" spans="1:31" x14ac:dyDescent="0.25">
      <c r="A59" t="str">
        <f>B59&amp;VLOOKUP(D59, Lookups!$E$2:$F$8,2,FALSE)&amp;C59</f>
        <v>ColonScreen detected60-69</v>
      </c>
      <c r="B59" t="s">
        <v>17</v>
      </c>
      <c r="C59" t="s">
        <v>9</v>
      </c>
      <c r="D59" t="s">
        <v>30</v>
      </c>
      <c r="E59" s="1">
        <v>0.56744730679156907</v>
      </c>
      <c r="F59" s="1">
        <v>3.4192037470725994E-2</v>
      </c>
      <c r="G59" s="1">
        <v>9.3676814988290398E-4</v>
      </c>
      <c r="H59" s="1">
        <v>0.33957845433255268</v>
      </c>
      <c r="I59" s="1">
        <v>2.5761124121779859E-3</v>
      </c>
      <c r="J59" s="1">
        <v>7.2599531615925063E-3</v>
      </c>
      <c r="K59" s="1">
        <v>3.8407494145199061E-2</v>
      </c>
      <c r="L59" s="1">
        <v>9.6018735362997654E-3</v>
      </c>
      <c r="M59" s="1">
        <v>1</v>
      </c>
      <c r="N59" s="2">
        <v>4270</v>
      </c>
      <c r="P59" s="1">
        <v>0.55300000000000005</v>
      </c>
      <c r="Q59" s="1">
        <v>0.58199999999999996</v>
      </c>
      <c r="R59" s="1">
        <v>2.9000000000000001E-2</v>
      </c>
      <c r="S59" s="1">
        <v>0.04</v>
      </c>
      <c r="T59" s="1">
        <v>0</v>
      </c>
      <c r="U59" s="1">
        <v>2E-3</v>
      </c>
      <c r="V59" s="1">
        <v>0.32600000000000001</v>
      </c>
      <c r="W59" s="1">
        <v>0.35399999999999998</v>
      </c>
      <c r="X59" s="1">
        <v>1E-3</v>
      </c>
      <c r="Y59" s="1">
        <v>5.0000000000000001E-3</v>
      </c>
      <c r="Z59" s="1">
        <v>5.0000000000000001E-3</v>
      </c>
      <c r="AA59" s="1">
        <v>0.01</v>
      </c>
      <c r="AB59" s="1">
        <v>3.3000000000000002E-2</v>
      </c>
      <c r="AC59" s="1">
        <v>4.4999999999999998E-2</v>
      </c>
      <c r="AD59" s="1">
        <v>7.0000000000000001E-3</v>
      </c>
      <c r="AE59" s="1">
        <v>1.2999999999999999E-2</v>
      </c>
    </row>
    <row r="60" spans="1:31" x14ac:dyDescent="0.25">
      <c r="A60" t="str">
        <f>B60&amp;VLOOKUP(D60, Lookups!$E$2:$F$8,2,FALSE)&amp;C60</f>
        <v>ColonTwo Week Wait60-69</v>
      </c>
      <c r="B60" t="s">
        <v>17</v>
      </c>
      <c r="C60" t="s">
        <v>9</v>
      </c>
      <c r="D60" t="s">
        <v>31</v>
      </c>
      <c r="E60" s="1">
        <v>0.34366609714425189</v>
      </c>
      <c r="F60" s="1">
        <v>0.14596045887234563</v>
      </c>
      <c r="G60" s="1">
        <v>4.3934586282645838E-3</v>
      </c>
      <c r="H60" s="1">
        <v>0.38638027825237981</v>
      </c>
      <c r="I60" s="1">
        <v>3.9052965584574079E-3</v>
      </c>
      <c r="J60" s="1">
        <v>2.172321210641933E-2</v>
      </c>
      <c r="K60" s="1">
        <v>7.4444715645594337E-2</v>
      </c>
      <c r="L60" s="1">
        <v>1.9526482792287039E-2</v>
      </c>
      <c r="M60" s="1">
        <v>1</v>
      </c>
      <c r="N60" s="2">
        <v>4097</v>
      </c>
      <c r="P60" s="1">
        <v>0.32900000000000001</v>
      </c>
      <c r="Q60" s="1">
        <v>0.35799999999999998</v>
      </c>
      <c r="R60" s="1">
        <v>0.13500000000000001</v>
      </c>
      <c r="S60" s="1">
        <v>0.157</v>
      </c>
      <c r="T60" s="1">
        <v>3.0000000000000001E-3</v>
      </c>
      <c r="U60" s="1">
        <v>7.0000000000000001E-3</v>
      </c>
      <c r="V60" s="1">
        <v>0.372</v>
      </c>
      <c r="W60" s="1">
        <v>0.40100000000000002</v>
      </c>
      <c r="X60" s="1">
        <v>2E-3</v>
      </c>
      <c r="Y60" s="1">
        <v>6.0000000000000001E-3</v>
      </c>
      <c r="Z60" s="1">
        <v>1.7999999999999999E-2</v>
      </c>
      <c r="AA60" s="1">
        <v>2.7E-2</v>
      </c>
      <c r="AB60" s="1">
        <v>6.7000000000000004E-2</v>
      </c>
      <c r="AC60" s="1">
        <v>8.3000000000000004E-2</v>
      </c>
      <c r="AD60" s="1">
        <v>1.6E-2</v>
      </c>
      <c r="AE60" s="1">
        <v>2.4E-2</v>
      </c>
    </row>
    <row r="61" spans="1:31" x14ac:dyDescent="0.25">
      <c r="A61" t="str">
        <f>B61&amp;VLOOKUP(D61, Lookups!$E$2:$F$8,2,FALSE)&amp;C61</f>
        <v>ColonGP referral60-69</v>
      </c>
      <c r="B61" t="s">
        <v>17</v>
      </c>
      <c r="C61" t="s">
        <v>9</v>
      </c>
      <c r="D61" t="s">
        <v>2</v>
      </c>
      <c r="E61" s="1">
        <v>0.4155756965424639</v>
      </c>
      <c r="F61" s="1">
        <v>0.10976837865055387</v>
      </c>
      <c r="G61" s="1">
        <v>1.1077542799597181E-2</v>
      </c>
      <c r="H61" s="1">
        <v>0.29942933870426319</v>
      </c>
      <c r="I61" s="1">
        <v>6.3779791876468614E-3</v>
      </c>
      <c r="J61" s="1">
        <v>2.0476670023497817E-2</v>
      </c>
      <c r="K61" s="1">
        <v>0.1225243370258476</v>
      </c>
      <c r="L61" s="1">
        <v>1.4770057066129574E-2</v>
      </c>
      <c r="M61" s="1">
        <v>1</v>
      </c>
      <c r="N61" s="2">
        <v>2979</v>
      </c>
      <c r="P61" s="1">
        <v>0.39800000000000002</v>
      </c>
      <c r="Q61" s="1">
        <v>0.433</v>
      </c>
      <c r="R61" s="1">
        <v>9.9000000000000005E-2</v>
      </c>
      <c r="S61" s="1">
        <v>0.122</v>
      </c>
      <c r="T61" s="1">
        <v>8.0000000000000002E-3</v>
      </c>
      <c r="U61" s="1">
        <v>1.6E-2</v>
      </c>
      <c r="V61" s="1">
        <v>0.28299999999999997</v>
      </c>
      <c r="W61" s="1">
        <v>0.316</v>
      </c>
      <c r="X61" s="1">
        <v>4.0000000000000001E-3</v>
      </c>
      <c r="Y61" s="1">
        <v>0.01</v>
      </c>
      <c r="Z61" s="1">
        <v>1.6E-2</v>
      </c>
      <c r="AA61" s="1">
        <v>2.5999999999999999E-2</v>
      </c>
      <c r="AB61" s="1">
        <v>0.111</v>
      </c>
      <c r="AC61" s="1">
        <v>0.13500000000000001</v>
      </c>
      <c r="AD61" s="1">
        <v>1.0999999999999999E-2</v>
      </c>
      <c r="AE61" s="1">
        <v>0.02</v>
      </c>
    </row>
    <row r="62" spans="1:31" x14ac:dyDescent="0.25">
      <c r="A62" t="str">
        <f>B62&amp;VLOOKUP(D62, Lookups!$E$2:$F$8,2,FALSE)&amp;C62</f>
        <v>ColonIP &amp; OP60-69</v>
      </c>
      <c r="B62" t="s">
        <v>17</v>
      </c>
      <c r="C62" t="s">
        <v>9</v>
      </c>
      <c r="D62" t="s">
        <v>32</v>
      </c>
      <c r="E62" s="1">
        <v>0.44616376531270147</v>
      </c>
      <c r="F62" s="1">
        <v>0.10767246937459704</v>
      </c>
      <c r="G62" s="1">
        <v>5.8027079303675051E-3</v>
      </c>
      <c r="H62" s="1">
        <v>0.28626692456479691</v>
      </c>
      <c r="I62" s="1">
        <v>3.8684719535783366E-3</v>
      </c>
      <c r="J62" s="1">
        <v>1.7408123791102514E-2</v>
      </c>
      <c r="K62" s="1">
        <v>0.12250161186331399</v>
      </c>
      <c r="L62" s="1">
        <v>1.0315925209542231E-2</v>
      </c>
      <c r="M62" s="1">
        <v>0.99999999999999989</v>
      </c>
      <c r="N62" s="2">
        <v>1551</v>
      </c>
      <c r="P62" s="1">
        <v>0.42199999999999999</v>
      </c>
      <c r="Q62" s="1">
        <v>0.47099999999999997</v>
      </c>
      <c r="R62" s="1">
        <v>9.2999999999999999E-2</v>
      </c>
      <c r="S62" s="1">
        <v>0.124</v>
      </c>
      <c r="T62" s="1">
        <v>3.0000000000000001E-3</v>
      </c>
      <c r="U62" s="1">
        <v>1.0999999999999999E-2</v>
      </c>
      <c r="V62" s="1">
        <v>0.26400000000000001</v>
      </c>
      <c r="W62" s="1">
        <v>0.309</v>
      </c>
      <c r="X62" s="1">
        <v>2E-3</v>
      </c>
      <c r="Y62" s="1">
        <v>8.0000000000000002E-3</v>
      </c>
      <c r="Z62" s="1">
        <v>1.2E-2</v>
      </c>
      <c r="AA62" s="1">
        <v>2.5000000000000001E-2</v>
      </c>
      <c r="AB62" s="1">
        <v>0.107</v>
      </c>
      <c r="AC62" s="1">
        <v>0.14000000000000001</v>
      </c>
      <c r="AD62" s="1">
        <v>6.0000000000000001E-3</v>
      </c>
      <c r="AE62" s="1">
        <v>1.7000000000000001E-2</v>
      </c>
    </row>
    <row r="63" spans="1:31" x14ac:dyDescent="0.25">
      <c r="A63" t="str">
        <f>B63&amp;VLOOKUP(D63, Lookups!$E$2:$F$8,2,FALSE)&amp;C63</f>
        <v>ColonEmergency presentation60-69</v>
      </c>
      <c r="B63" t="s">
        <v>17</v>
      </c>
      <c r="C63" t="s">
        <v>9</v>
      </c>
      <c r="D63" t="s">
        <v>33</v>
      </c>
      <c r="E63" s="1">
        <v>0.2784278427842784</v>
      </c>
      <c r="F63" s="1">
        <v>8.1908190819081905E-2</v>
      </c>
      <c r="G63" s="1">
        <v>7.5007500750075007E-3</v>
      </c>
      <c r="H63" s="1">
        <v>0.37053705370537054</v>
      </c>
      <c r="I63" s="1">
        <v>4.2004200420042003E-3</v>
      </c>
      <c r="J63" s="1">
        <v>1.2601260126012601E-2</v>
      </c>
      <c r="K63" s="1">
        <v>0.23072307230723071</v>
      </c>
      <c r="L63" s="1">
        <v>1.4101410141014101E-2</v>
      </c>
      <c r="M63" s="1">
        <v>0.99999999999999989</v>
      </c>
      <c r="N63" s="2">
        <v>3333</v>
      </c>
      <c r="P63" s="1">
        <v>0.26300000000000001</v>
      </c>
      <c r="Q63" s="1">
        <v>0.29399999999999998</v>
      </c>
      <c r="R63" s="1">
        <v>7.2999999999999995E-2</v>
      </c>
      <c r="S63" s="1">
        <v>9.1999999999999998E-2</v>
      </c>
      <c r="T63" s="1">
        <v>5.0000000000000001E-3</v>
      </c>
      <c r="U63" s="1">
        <v>1.0999999999999999E-2</v>
      </c>
      <c r="V63" s="1">
        <v>0.35399999999999998</v>
      </c>
      <c r="W63" s="1">
        <v>0.38700000000000001</v>
      </c>
      <c r="X63" s="1">
        <v>3.0000000000000001E-3</v>
      </c>
      <c r="Y63" s="1">
        <v>7.0000000000000001E-3</v>
      </c>
      <c r="Z63" s="1">
        <v>8.9999999999999993E-3</v>
      </c>
      <c r="AA63" s="1">
        <v>1.7000000000000001E-2</v>
      </c>
      <c r="AB63" s="1">
        <v>0.217</v>
      </c>
      <c r="AC63" s="1">
        <v>0.245</v>
      </c>
      <c r="AD63" s="1">
        <v>1.0999999999999999E-2</v>
      </c>
      <c r="AE63" s="1">
        <v>1.9E-2</v>
      </c>
    </row>
    <row r="64" spans="1:31" x14ac:dyDescent="0.25">
      <c r="A64" t="str">
        <f>B64&amp;VLOOKUP(D64, Lookups!$E$2:$F$8,2,FALSE)&amp;C64</f>
        <v>ColonUnknown60-69</v>
      </c>
      <c r="B64" t="s">
        <v>17</v>
      </c>
      <c r="C64" t="s">
        <v>9</v>
      </c>
      <c r="D64" t="s">
        <v>4</v>
      </c>
      <c r="E64" s="1">
        <v>0.35620052770448551</v>
      </c>
      <c r="F64" s="1">
        <v>9.7625329815303433E-2</v>
      </c>
      <c r="G64" s="1">
        <v>7.9155672823219003E-3</v>
      </c>
      <c r="H64" s="1">
        <v>0.13984168865435356</v>
      </c>
      <c r="I64" s="1">
        <v>7.9155672823219003E-3</v>
      </c>
      <c r="J64" s="1">
        <v>1.8469656992084433E-2</v>
      </c>
      <c r="K64" s="1">
        <v>0.36411609498680741</v>
      </c>
      <c r="L64" s="1">
        <v>7.9155672823219003E-3</v>
      </c>
      <c r="M64" s="1">
        <v>1</v>
      </c>
      <c r="N64" s="2">
        <v>379</v>
      </c>
      <c r="P64" s="1">
        <v>0.31</v>
      </c>
      <c r="Q64" s="1">
        <v>0.40600000000000003</v>
      </c>
      <c r="R64" s="1">
        <v>7.1999999999999995E-2</v>
      </c>
      <c r="S64" s="1">
        <v>0.13200000000000001</v>
      </c>
      <c r="T64" s="1">
        <v>3.0000000000000001E-3</v>
      </c>
      <c r="U64" s="1">
        <v>2.3E-2</v>
      </c>
      <c r="V64" s="1">
        <v>0.109</v>
      </c>
      <c r="W64" s="1">
        <v>0.17799999999999999</v>
      </c>
      <c r="X64" s="1">
        <v>3.0000000000000001E-3</v>
      </c>
      <c r="Y64" s="1">
        <v>2.3E-2</v>
      </c>
      <c r="Z64" s="1">
        <v>8.9999999999999993E-3</v>
      </c>
      <c r="AA64" s="1">
        <v>3.7999999999999999E-2</v>
      </c>
      <c r="AB64" s="1">
        <v>0.317</v>
      </c>
      <c r="AC64" s="1">
        <v>0.41399999999999998</v>
      </c>
      <c r="AD64" s="1">
        <v>3.0000000000000001E-3</v>
      </c>
      <c r="AE64" s="1">
        <v>2.3E-2</v>
      </c>
    </row>
    <row r="65" spans="1:31" x14ac:dyDescent="0.25">
      <c r="A65" t="str">
        <f>B65&amp;VLOOKUP(D65, Lookups!$E$2:$F$8,2,FALSE)&amp;C65</f>
        <v>ColonAll Routes60-69</v>
      </c>
      <c r="B65" t="s">
        <v>17</v>
      </c>
      <c r="C65" t="s">
        <v>9</v>
      </c>
      <c r="D65" t="s">
        <v>34</v>
      </c>
      <c r="E65" s="1">
        <v>0.41086158107050397</v>
      </c>
      <c r="F65" s="1">
        <v>9.3202480582816549E-2</v>
      </c>
      <c r="G65" s="1">
        <v>5.5391655126738517E-3</v>
      </c>
      <c r="H65" s="1">
        <v>0.34059847070865196</v>
      </c>
      <c r="I65" s="1">
        <v>4.1543741345053883E-3</v>
      </c>
      <c r="J65" s="1">
        <v>1.5473538443012825E-2</v>
      </c>
      <c r="K65" s="1">
        <v>0.11626226744536095</v>
      </c>
      <c r="L65" s="1">
        <v>1.3908122102474562E-2</v>
      </c>
      <c r="M65" s="1">
        <v>1</v>
      </c>
      <c r="N65" s="2">
        <v>16609</v>
      </c>
      <c r="P65" s="1">
        <v>0.40300000000000002</v>
      </c>
      <c r="Q65" s="1">
        <v>0.41799999999999998</v>
      </c>
      <c r="R65" s="1">
        <v>8.8999999999999996E-2</v>
      </c>
      <c r="S65" s="1">
        <v>9.8000000000000004E-2</v>
      </c>
      <c r="T65" s="1">
        <v>5.0000000000000001E-3</v>
      </c>
      <c r="U65" s="1">
        <v>7.0000000000000001E-3</v>
      </c>
      <c r="V65" s="1">
        <v>0.33300000000000002</v>
      </c>
      <c r="W65" s="1">
        <v>0.34799999999999998</v>
      </c>
      <c r="X65" s="1">
        <v>3.0000000000000001E-3</v>
      </c>
      <c r="Y65" s="1">
        <v>5.0000000000000001E-3</v>
      </c>
      <c r="Z65" s="1">
        <v>1.4E-2</v>
      </c>
      <c r="AA65" s="1">
        <v>1.7000000000000001E-2</v>
      </c>
      <c r="AB65" s="1">
        <v>0.111</v>
      </c>
      <c r="AC65" s="1">
        <v>0.121</v>
      </c>
      <c r="AD65" s="1">
        <v>1.2E-2</v>
      </c>
      <c r="AE65" s="1">
        <v>1.6E-2</v>
      </c>
    </row>
    <row r="66" spans="1:31" x14ac:dyDescent="0.25">
      <c r="A66" t="str">
        <f>B66&amp;VLOOKUP(D66, Lookups!$E$2:$F$8,2,FALSE)&amp;C66</f>
        <v>ColonScreen detected70-79</v>
      </c>
      <c r="B66" t="s">
        <v>17</v>
      </c>
      <c r="C66" t="s">
        <v>10</v>
      </c>
      <c r="D66" t="s">
        <v>30</v>
      </c>
      <c r="E66" s="1">
        <v>0.61388550548112053</v>
      </c>
      <c r="F66" s="1">
        <v>3.6540803897685749E-2</v>
      </c>
      <c r="G66" s="1">
        <v>3.6540803897685747E-3</v>
      </c>
      <c r="H66" s="1">
        <v>0.28704831506293138</v>
      </c>
      <c r="I66" s="1">
        <v>3.6540803897685747E-3</v>
      </c>
      <c r="J66" s="1">
        <v>6.0901339829476245E-3</v>
      </c>
      <c r="K66" s="1">
        <v>4.4660982541615914E-2</v>
      </c>
      <c r="L66" s="1">
        <v>4.4660982541615919E-3</v>
      </c>
      <c r="M66" s="1">
        <v>0.99999999999999989</v>
      </c>
      <c r="N66" s="2">
        <v>2463</v>
      </c>
      <c r="P66" s="1">
        <v>0.59399999999999997</v>
      </c>
      <c r="Q66" s="1">
        <v>0.63300000000000001</v>
      </c>
      <c r="R66" s="1">
        <v>0.03</v>
      </c>
      <c r="S66" s="1">
        <v>4.4999999999999998E-2</v>
      </c>
      <c r="T66" s="1">
        <v>2E-3</v>
      </c>
      <c r="U66" s="1">
        <v>7.0000000000000001E-3</v>
      </c>
      <c r="V66" s="1">
        <v>0.27</v>
      </c>
      <c r="W66" s="1">
        <v>0.30499999999999999</v>
      </c>
      <c r="X66" s="1">
        <v>2E-3</v>
      </c>
      <c r="Y66" s="1">
        <v>7.0000000000000001E-3</v>
      </c>
      <c r="Z66" s="1">
        <v>4.0000000000000001E-3</v>
      </c>
      <c r="AA66" s="1">
        <v>0.01</v>
      </c>
      <c r="AB66" s="1">
        <v>3.6999999999999998E-2</v>
      </c>
      <c r="AC66" s="1">
        <v>5.3999999999999999E-2</v>
      </c>
      <c r="AD66" s="1">
        <v>2E-3</v>
      </c>
      <c r="AE66" s="1">
        <v>8.0000000000000002E-3</v>
      </c>
    </row>
    <row r="67" spans="1:31" x14ac:dyDescent="0.25">
      <c r="A67" t="str">
        <f>B67&amp;VLOOKUP(D67, Lookups!$E$2:$F$8,2,FALSE)&amp;C67</f>
        <v>ColonTwo Week Wait70-79</v>
      </c>
      <c r="B67" t="s">
        <v>17</v>
      </c>
      <c r="C67" t="s">
        <v>10</v>
      </c>
      <c r="D67" t="s">
        <v>31</v>
      </c>
      <c r="E67" s="1">
        <v>0.4905768132495717</v>
      </c>
      <c r="F67" s="1">
        <v>0.1000856653340948</v>
      </c>
      <c r="G67" s="1">
        <v>7.4243289548829245E-3</v>
      </c>
      <c r="H67" s="1">
        <v>0.26356367789834378</v>
      </c>
      <c r="I67" s="1">
        <v>5.7110222729868645E-3</v>
      </c>
      <c r="J67" s="1">
        <v>1.499143346659052E-2</v>
      </c>
      <c r="K67" s="1">
        <v>0.10551113649343233</v>
      </c>
      <c r="L67" s="1">
        <v>1.2135922330097087E-2</v>
      </c>
      <c r="M67" s="1">
        <v>0.99999999999999989</v>
      </c>
      <c r="N67" s="2">
        <v>7004</v>
      </c>
      <c r="P67" s="1">
        <v>0.47899999999999998</v>
      </c>
      <c r="Q67" s="1">
        <v>0.502</v>
      </c>
      <c r="R67" s="1">
        <v>9.2999999999999999E-2</v>
      </c>
      <c r="S67" s="1">
        <v>0.107</v>
      </c>
      <c r="T67" s="1">
        <v>6.0000000000000001E-3</v>
      </c>
      <c r="U67" s="1">
        <v>0.01</v>
      </c>
      <c r="V67" s="1">
        <v>0.253</v>
      </c>
      <c r="W67" s="1">
        <v>0.27400000000000002</v>
      </c>
      <c r="X67" s="1">
        <v>4.0000000000000001E-3</v>
      </c>
      <c r="Y67" s="1">
        <v>8.0000000000000002E-3</v>
      </c>
      <c r="Z67" s="1">
        <v>1.2E-2</v>
      </c>
      <c r="AA67" s="1">
        <v>1.7999999999999999E-2</v>
      </c>
      <c r="AB67" s="1">
        <v>9.9000000000000005E-2</v>
      </c>
      <c r="AC67" s="1">
        <v>0.113</v>
      </c>
      <c r="AD67" s="1">
        <v>0.01</v>
      </c>
      <c r="AE67" s="1">
        <v>1.4999999999999999E-2</v>
      </c>
    </row>
    <row r="68" spans="1:31" x14ac:dyDescent="0.25">
      <c r="A68" t="str">
        <f>B68&amp;VLOOKUP(D68, Lookups!$E$2:$F$8,2,FALSE)&amp;C68</f>
        <v>ColonGP referral70-79</v>
      </c>
      <c r="B68" t="s">
        <v>17</v>
      </c>
      <c r="C68" t="s">
        <v>10</v>
      </c>
      <c r="D68" t="s">
        <v>2</v>
      </c>
      <c r="E68" s="1">
        <v>0.49856239217941345</v>
      </c>
      <c r="F68" s="1">
        <v>7.8397546482652861E-2</v>
      </c>
      <c r="G68" s="1">
        <v>8.0506037952846471E-3</v>
      </c>
      <c r="H68" s="1">
        <v>0.19992332758290204</v>
      </c>
      <c r="I68" s="1">
        <v>7.4755606670500289E-3</v>
      </c>
      <c r="J68" s="1">
        <v>1.3609354034885951E-2</v>
      </c>
      <c r="K68" s="1">
        <v>0.18593061146252635</v>
      </c>
      <c r="L68" s="1">
        <v>8.0506037952846471E-3</v>
      </c>
      <c r="M68" s="1">
        <v>1</v>
      </c>
      <c r="N68" s="2">
        <v>5217</v>
      </c>
      <c r="P68" s="1">
        <v>0.48499999999999999</v>
      </c>
      <c r="Q68" s="1">
        <v>0.51200000000000001</v>
      </c>
      <c r="R68" s="1">
        <v>7.0999999999999994E-2</v>
      </c>
      <c r="S68" s="1">
        <v>8.5999999999999993E-2</v>
      </c>
      <c r="T68" s="1">
        <v>6.0000000000000001E-3</v>
      </c>
      <c r="U68" s="1">
        <v>1.0999999999999999E-2</v>
      </c>
      <c r="V68" s="1">
        <v>0.189</v>
      </c>
      <c r="W68" s="1">
        <v>0.21099999999999999</v>
      </c>
      <c r="X68" s="1">
        <v>5.0000000000000001E-3</v>
      </c>
      <c r="Y68" s="1">
        <v>0.01</v>
      </c>
      <c r="Z68" s="1">
        <v>1.0999999999999999E-2</v>
      </c>
      <c r="AA68" s="1">
        <v>1.7000000000000001E-2</v>
      </c>
      <c r="AB68" s="1">
        <v>0.17599999999999999</v>
      </c>
      <c r="AC68" s="1">
        <v>0.19700000000000001</v>
      </c>
      <c r="AD68" s="1">
        <v>6.0000000000000001E-3</v>
      </c>
      <c r="AE68" s="1">
        <v>1.0999999999999999E-2</v>
      </c>
    </row>
    <row r="69" spans="1:31" x14ac:dyDescent="0.25">
      <c r="A69" t="str">
        <f>B69&amp;VLOOKUP(D69, Lookups!$E$2:$F$8,2,FALSE)&amp;C69</f>
        <v>ColonIP &amp; OP70-79</v>
      </c>
      <c r="B69" t="s">
        <v>17</v>
      </c>
      <c r="C69" t="s">
        <v>10</v>
      </c>
      <c r="D69" t="s">
        <v>32</v>
      </c>
      <c r="E69" s="1">
        <v>0.5241516966067864</v>
      </c>
      <c r="F69" s="1">
        <v>7.864271457085828E-2</v>
      </c>
      <c r="G69" s="1">
        <v>8.3832335329341312E-3</v>
      </c>
      <c r="H69" s="1">
        <v>0.19520958083832335</v>
      </c>
      <c r="I69" s="1">
        <v>3.592814371257485E-3</v>
      </c>
      <c r="J69" s="1">
        <v>8.3832335329341312E-3</v>
      </c>
      <c r="K69" s="1">
        <v>0.17604790419161676</v>
      </c>
      <c r="L69" s="1">
        <v>5.5888223552894214E-3</v>
      </c>
      <c r="M69" s="1">
        <v>1</v>
      </c>
      <c r="N69" s="2">
        <v>2505</v>
      </c>
      <c r="P69" s="1">
        <v>0.505</v>
      </c>
      <c r="Q69" s="1">
        <v>0.54400000000000004</v>
      </c>
      <c r="R69" s="1">
        <v>6.9000000000000006E-2</v>
      </c>
      <c r="S69" s="1">
        <v>0.09</v>
      </c>
      <c r="T69" s="1">
        <v>5.0000000000000001E-3</v>
      </c>
      <c r="U69" s="1">
        <v>1.2999999999999999E-2</v>
      </c>
      <c r="V69" s="1">
        <v>0.18</v>
      </c>
      <c r="W69" s="1">
        <v>0.21099999999999999</v>
      </c>
      <c r="X69" s="1">
        <v>2E-3</v>
      </c>
      <c r="Y69" s="1">
        <v>7.0000000000000001E-3</v>
      </c>
      <c r="Z69" s="1">
        <v>5.0000000000000001E-3</v>
      </c>
      <c r="AA69" s="1">
        <v>1.2999999999999999E-2</v>
      </c>
      <c r="AB69" s="1">
        <v>0.16200000000000001</v>
      </c>
      <c r="AC69" s="1">
        <v>0.191</v>
      </c>
      <c r="AD69" s="1">
        <v>3.0000000000000001E-3</v>
      </c>
      <c r="AE69" s="1">
        <v>8.9999999999999993E-3</v>
      </c>
    </row>
    <row r="70" spans="1:31" x14ac:dyDescent="0.25">
      <c r="A70" t="str">
        <f>B70&amp;VLOOKUP(D70, Lookups!$E$2:$F$8,2,FALSE)&amp;C70</f>
        <v>ColonEmergency presentation70-79</v>
      </c>
      <c r="B70" t="s">
        <v>17</v>
      </c>
      <c r="C70" t="s">
        <v>10</v>
      </c>
      <c r="D70" t="s">
        <v>33</v>
      </c>
      <c r="E70" s="1">
        <v>0.36793717678605631</v>
      </c>
      <c r="F70" s="1">
        <v>5.1522696801379046E-2</v>
      </c>
      <c r="G70" s="1">
        <v>9.0021068760773801E-3</v>
      </c>
      <c r="H70" s="1">
        <v>0.21911511204750048</v>
      </c>
      <c r="I70" s="1">
        <v>7.2782991764029879E-3</v>
      </c>
      <c r="J70" s="1">
        <v>5.5544914767285958E-3</v>
      </c>
      <c r="K70" s="1">
        <v>0.33441869373683203</v>
      </c>
      <c r="L70" s="1">
        <v>5.1714230990231756E-3</v>
      </c>
      <c r="M70" s="1">
        <v>1</v>
      </c>
      <c r="N70" s="2">
        <v>5221</v>
      </c>
      <c r="P70" s="1">
        <v>0.35499999999999998</v>
      </c>
      <c r="Q70" s="1">
        <v>0.38100000000000001</v>
      </c>
      <c r="R70" s="1">
        <v>4.5999999999999999E-2</v>
      </c>
      <c r="S70" s="1">
        <v>5.8000000000000003E-2</v>
      </c>
      <c r="T70" s="1">
        <v>7.0000000000000001E-3</v>
      </c>
      <c r="U70" s="1">
        <v>1.2E-2</v>
      </c>
      <c r="V70" s="1">
        <v>0.20799999999999999</v>
      </c>
      <c r="W70" s="1">
        <v>0.23100000000000001</v>
      </c>
      <c r="X70" s="1">
        <v>5.0000000000000001E-3</v>
      </c>
      <c r="Y70" s="1">
        <v>0.01</v>
      </c>
      <c r="Z70" s="1">
        <v>4.0000000000000001E-3</v>
      </c>
      <c r="AA70" s="1">
        <v>8.0000000000000002E-3</v>
      </c>
      <c r="AB70" s="1">
        <v>0.32200000000000001</v>
      </c>
      <c r="AC70" s="1">
        <v>0.34699999999999998</v>
      </c>
      <c r="AD70" s="1">
        <v>4.0000000000000001E-3</v>
      </c>
      <c r="AE70" s="1">
        <v>8.0000000000000002E-3</v>
      </c>
    </row>
    <row r="71" spans="1:31" x14ac:dyDescent="0.25">
      <c r="A71" t="str">
        <f>B71&amp;VLOOKUP(D71, Lookups!$E$2:$F$8,2,FALSE)&amp;C71</f>
        <v>ColonUnknown70-79</v>
      </c>
      <c r="B71" t="s">
        <v>17</v>
      </c>
      <c r="C71" t="s">
        <v>10</v>
      </c>
      <c r="D71" t="s">
        <v>4</v>
      </c>
      <c r="E71" s="1">
        <v>0.30051813471502592</v>
      </c>
      <c r="F71" s="1">
        <v>9.3264248704663211E-2</v>
      </c>
      <c r="G71" s="1">
        <v>7.7720207253886009E-3</v>
      </c>
      <c r="H71" s="1">
        <v>0.10362694300518134</v>
      </c>
      <c r="I71" s="1">
        <v>2.5906735751295338E-3</v>
      </c>
      <c r="J71" s="1">
        <v>1.0362694300518135E-2</v>
      </c>
      <c r="K71" s="1">
        <v>0.47927461139896371</v>
      </c>
      <c r="L71" s="1">
        <v>2.5906735751295338E-3</v>
      </c>
      <c r="M71" s="1">
        <v>1</v>
      </c>
      <c r="N71" s="2">
        <v>386</v>
      </c>
      <c r="P71" s="1">
        <v>0.25700000000000001</v>
      </c>
      <c r="Q71" s="1">
        <v>0.34799999999999998</v>
      </c>
      <c r="R71" s="1">
        <v>6.8000000000000005E-2</v>
      </c>
      <c r="S71" s="1">
        <v>0.126</v>
      </c>
      <c r="T71" s="1">
        <v>3.0000000000000001E-3</v>
      </c>
      <c r="U71" s="1">
        <v>2.3E-2</v>
      </c>
      <c r="V71" s="1">
        <v>7.6999999999999999E-2</v>
      </c>
      <c r="W71" s="1">
        <v>0.13800000000000001</v>
      </c>
      <c r="X71" s="1">
        <v>0</v>
      </c>
      <c r="Y71" s="1">
        <v>1.4999999999999999E-2</v>
      </c>
      <c r="Z71" s="1">
        <v>4.0000000000000001E-3</v>
      </c>
      <c r="AA71" s="1">
        <v>2.5999999999999999E-2</v>
      </c>
      <c r="AB71" s="1">
        <v>0.43</v>
      </c>
      <c r="AC71" s="1">
        <v>0.52900000000000003</v>
      </c>
      <c r="AD71" s="1">
        <v>0</v>
      </c>
      <c r="AE71" s="1">
        <v>1.4999999999999999E-2</v>
      </c>
    </row>
    <row r="72" spans="1:31" x14ac:dyDescent="0.25">
      <c r="A72" t="str">
        <f>B72&amp;VLOOKUP(D72, Lookups!$E$2:$F$8,2,FALSE)&amp;C72</f>
        <v>ColonAll Routes70-79</v>
      </c>
      <c r="B72" t="s">
        <v>17</v>
      </c>
      <c r="C72" t="s">
        <v>10</v>
      </c>
      <c r="D72" t="s">
        <v>34</v>
      </c>
      <c r="E72" s="1">
        <v>0.47811019477101246</v>
      </c>
      <c r="F72" s="1">
        <v>7.4662221442358304E-2</v>
      </c>
      <c r="G72" s="1">
        <v>7.6329180557992626E-3</v>
      </c>
      <c r="H72" s="1">
        <v>0.23113704158624321</v>
      </c>
      <c r="I72" s="1">
        <v>5.9659589401649411E-3</v>
      </c>
      <c r="J72" s="1">
        <v>1.0747499561326548E-2</v>
      </c>
      <c r="K72" s="1">
        <v>0.18384804351640638</v>
      </c>
      <c r="L72" s="1">
        <v>7.8961221266888922E-3</v>
      </c>
      <c r="M72" s="1">
        <v>1</v>
      </c>
      <c r="N72" s="2">
        <v>22796</v>
      </c>
      <c r="P72" s="1">
        <v>0.47199999999999998</v>
      </c>
      <c r="Q72" s="1">
        <v>0.48499999999999999</v>
      </c>
      <c r="R72" s="1">
        <v>7.0999999999999994E-2</v>
      </c>
      <c r="S72" s="1">
        <v>7.8E-2</v>
      </c>
      <c r="T72" s="1">
        <v>7.0000000000000001E-3</v>
      </c>
      <c r="U72" s="1">
        <v>8.9999999999999993E-3</v>
      </c>
      <c r="V72" s="1">
        <v>0.22600000000000001</v>
      </c>
      <c r="W72" s="1">
        <v>0.23699999999999999</v>
      </c>
      <c r="X72" s="1">
        <v>5.0000000000000001E-3</v>
      </c>
      <c r="Y72" s="1">
        <v>7.0000000000000001E-3</v>
      </c>
      <c r="Z72" s="1">
        <v>8.9999999999999993E-3</v>
      </c>
      <c r="AA72" s="1">
        <v>1.2E-2</v>
      </c>
      <c r="AB72" s="1">
        <v>0.17899999999999999</v>
      </c>
      <c r="AC72" s="1">
        <v>0.189</v>
      </c>
      <c r="AD72" s="1">
        <v>7.0000000000000001E-3</v>
      </c>
      <c r="AE72" s="1">
        <v>8.9999999999999993E-3</v>
      </c>
    </row>
    <row r="73" spans="1:31" x14ac:dyDescent="0.25">
      <c r="A73" t="str">
        <f>B73&amp;VLOOKUP(D73, Lookups!$E$2:$F$8,2,FALSE)&amp;C73</f>
        <v>ColonScreen detected80-84</v>
      </c>
      <c r="B73" t="s">
        <v>17</v>
      </c>
      <c r="C73" t="s">
        <v>11</v>
      </c>
      <c r="D73" t="s">
        <v>30</v>
      </c>
      <c r="E73" s="1">
        <v>0.77142857142857146</v>
      </c>
      <c r="F73" s="1">
        <v>1.4285714285714285E-2</v>
      </c>
      <c r="G73" s="1">
        <v>0</v>
      </c>
      <c r="H73" s="1">
        <v>0.1</v>
      </c>
      <c r="I73" s="1">
        <v>0</v>
      </c>
      <c r="J73" s="1">
        <v>0</v>
      </c>
      <c r="K73" s="1">
        <v>0.11428571428571428</v>
      </c>
      <c r="L73" s="1">
        <v>0</v>
      </c>
      <c r="M73" s="1">
        <v>1</v>
      </c>
      <c r="N73" s="2">
        <v>70</v>
      </c>
      <c r="P73" s="1">
        <v>0.66</v>
      </c>
      <c r="Q73" s="1">
        <v>0.85399999999999998</v>
      </c>
      <c r="R73" s="1">
        <v>3.0000000000000001E-3</v>
      </c>
      <c r="S73" s="1">
        <v>7.6999999999999999E-2</v>
      </c>
      <c r="T73" s="1">
        <v>0</v>
      </c>
      <c r="U73" s="1">
        <v>5.1999999999999998E-2</v>
      </c>
      <c r="V73" s="1">
        <v>4.9000000000000002E-2</v>
      </c>
      <c r="W73" s="1">
        <v>0.192</v>
      </c>
      <c r="X73" s="1">
        <v>0</v>
      </c>
      <c r="Y73" s="1">
        <v>5.1999999999999998E-2</v>
      </c>
      <c r="Z73" s="1">
        <v>0</v>
      </c>
      <c r="AA73" s="1">
        <v>5.1999999999999998E-2</v>
      </c>
      <c r="AB73" s="1">
        <v>5.8999999999999997E-2</v>
      </c>
      <c r="AC73" s="1">
        <v>0.21</v>
      </c>
      <c r="AD73" s="1">
        <v>0</v>
      </c>
      <c r="AE73" s="1">
        <v>5.1999999999999998E-2</v>
      </c>
    </row>
    <row r="74" spans="1:31" x14ac:dyDescent="0.25">
      <c r="A74" t="str">
        <f>B74&amp;VLOOKUP(D74, Lookups!$E$2:$F$8,2,FALSE)&amp;C74</f>
        <v>ColonTwo Week Wait80-84</v>
      </c>
      <c r="B74" t="s">
        <v>17</v>
      </c>
      <c r="C74" t="s">
        <v>11</v>
      </c>
      <c r="D74" t="s">
        <v>31</v>
      </c>
      <c r="E74" s="1">
        <v>0.6106890938686923</v>
      </c>
      <c r="F74" s="1">
        <v>5.8057514921323931E-2</v>
      </c>
      <c r="G74" s="1">
        <v>1.166576234400434E-2</v>
      </c>
      <c r="H74" s="1">
        <v>0.11041779706999458</v>
      </c>
      <c r="I74" s="1">
        <v>8.6814975583288118E-3</v>
      </c>
      <c r="J74" s="1">
        <v>4.8833423765599565E-3</v>
      </c>
      <c r="K74" s="1">
        <v>0.18990775908844276</v>
      </c>
      <c r="L74" s="1">
        <v>5.6972327726532825E-3</v>
      </c>
      <c r="M74" s="1">
        <v>0.99999999999999989</v>
      </c>
      <c r="N74" s="2">
        <v>3686</v>
      </c>
      <c r="P74" s="1">
        <v>0.59499999999999997</v>
      </c>
      <c r="Q74" s="1">
        <v>0.626</v>
      </c>
      <c r="R74" s="1">
        <v>5.0999999999999997E-2</v>
      </c>
      <c r="S74" s="1">
        <v>6.6000000000000003E-2</v>
      </c>
      <c r="T74" s="1">
        <v>8.9999999999999993E-3</v>
      </c>
      <c r="U74" s="1">
        <v>1.6E-2</v>
      </c>
      <c r="V74" s="1">
        <v>0.10100000000000001</v>
      </c>
      <c r="W74" s="1">
        <v>0.121</v>
      </c>
      <c r="X74" s="1">
        <v>6.0000000000000001E-3</v>
      </c>
      <c r="Y74" s="1">
        <v>1.2E-2</v>
      </c>
      <c r="Z74" s="1">
        <v>3.0000000000000001E-3</v>
      </c>
      <c r="AA74" s="1">
        <v>8.0000000000000002E-3</v>
      </c>
      <c r="AB74" s="1">
        <v>0.17799999999999999</v>
      </c>
      <c r="AC74" s="1">
        <v>0.20300000000000001</v>
      </c>
      <c r="AD74" s="1">
        <v>4.0000000000000001E-3</v>
      </c>
      <c r="AE74" s="1">
        <v>8.9999999999999993E-3</v>
      </c>
    </row>
    <row r="75" spans="1:31" x14ac:dyDescent="0.25">
      <c r="A75" t="str">
        <f>B75&amp;VLOOKUP(D75, Lookups!$E$2:$F$8,2,FALSE)&amp;C75</f>
        <v>ColonGP referral80-84</v>
      </c>
      <c r="B75" t="s">
        <v>17</v>
      </c>
      <c r="C75" t="s">
        <v>11</v>
      </c>
      <c r="D75" t="s">
        <v>2</v>
      </c>
      <c r="E75" s="1">
        <v>0.53233333333333333</v>
      </c>
      <c r="F75" s="1">
        <v>4.8000000000000001E-2</v>
      </c>
      <c r="G75" s="1">
        <v>1.6666666666666666E-2</v>
      </c>
      <c r="H75" s="1">
        <v>7.166666666666667E-2</v>
      </c>
      <c r="I75" s="1">
        <v>6.0000000000000001E-3</v>
      </c>
      <c r="J75" s="1">
        <v>3.3333333333333335E-3</v>
      </c>
      <c r="K75" s="1">
        <v>0.32033333333333336</v>
      </c>
      <c r="L75" s="1">
        <v>1.6666666666666668E-3</v>
      </c>
      <c r="M75" s="1">
        <v>1</v>
      </c>
      <c r="N75" s="2">
        <v>3000</v>
      </c>
      <c r="P75" s="1">
        <v>0.51400000000000001</v>
      </c>
      <c r="Q75" s="1">
        <v>0.55000000000000004</v>
      </c>
      <c r="R75" s="1">
        <v>4.1000000000000002E-2</v>
      </c>
      <c r="S75" s="1">
        <v>5.6000000000000001E-2</v>
      </c>
      <c r="T75" s="1">
        <v>1.2999999999999999E-2</v>
      </c>
      <c r="U75" s="1">
        <v>2.1999999999999999E-2</v>
      </c>
      <c r="V75" s="1">
        <v>6.3E-2</v>
      </c>
      <c r="W75" s="1">
        <v>8.1000000000000003E-2</v>
      </c>
      <c r="X75" s="1">
        <v>4.0000000000000001E-3</v>
      </c>
      <c r="Y75" s="1">
        <v>8.9999999999999993E-3</v>
      </c>
      <c r="Z75" s="1">
        <v>2E-3</v>
      </c>
      <c r="AA75" s="1">
        <v>6.0000000000000001E-3</v>
      </c>
      <c r="AB75" s="1">
        <v>0.30399999999999999</v>
      </c>
      <c r="AC75" s="1">
        <v>0.33700000000000002</v>
      </c>
      <c r="AD75" s="1">
        <v>1E-3</v>
      </c>
      <c r="AE75" s="1">
        <v>4.0000000000000001E-3</v>
      </c>
    </row>
    <row r="76" spans="1:31" x14ac:dyDescent="0.25">
      <c r="A76" t="str">
        <f>B76&amp;VLOOKUP(D76, Lookups!$E$2:$F$8,2,FALSE)&amp;C76</f>
        <v>ColonIP &amp; OP80-84</v>
      </c>
      <c r="B76" t="s">
        <v>17</v>
      </c>
      <c r="C76" t="s">
        <v>11</v>
      </c>
      <c r="D76" t="s">
        <v>32</v>
      </c>
      <c r="E76" s="1">
        <v>0.58326429163214577</v>
      </c>
      <c r="F76" s="1">
        <v>5.0538525269262634E-2</v>
      </c>
      <c r="G76" s="1">
        <v>1.6570008285004142E-2</v>
      </c>
      <c r="H76" s="1">
        <v>7.9536039768019887E-2</v>
      </c>
      <c r="I76" s="1">
        <v>7.4565037282518639E-3</v>
      </c>
      <c r="J76" s="1">
        <v>3.3140016570008283E-3</v>
      </c>
      <c r="K76" s="1">
        <v>0.25683512841756423</v>
      </c>
      <c r="L76" s="1">
        <v>2.4855012427506215E-3</v>
      </c>
      <c r="M76" s="1">
        <v>0.99999999999999989</v>
      </c>
      <c r="N76" s="2">
        <v>1207</v>
      </c>
      <c r="P76" s="1">
        <v>0.55500000000000005</v>
      </c>
      <c r="Q76" s="1">
        <v>0.61099999999999999</v>
      </c>
      <c r="R76" s="1">
        <v>0.04</v>
      </c>
      <c r="S76" s="1">
        <v>6.4000000000000001E-2</v>
      </c>
      <c r="T76" s="1">
        <v>1.0999999999999999E-2</v>
      </c>
      <c r="U76" s="1">
        <v>2.5000000000000001E-2</v>
      </c>
      <c r="V76" s="1">
        <v>6.6000000000000003E-2</v>
      </c>
      <c r="W76" s="1">
        <v>9.6000000000000002E-2</v>
      </c>
      <c r="X76" s="1">
        <v>4.0000000000000001E-3</v>
      </c>
      <c r="Y76" s="1">
        <v>1.4E-2</v>
      </c>
      <c r="Z76" s="1">
        <v>1E-3</v>
      </c>
      <c r="AA76" s="1">
        <v>8.0000000000000002E-3</v>
      </c>
      <c r="AB76" s="1">
        <v>0.23300000000000001</v>
      </c>
      <c r="AC76" s="1">
        <v>0.28199999999999997</v>
      </c>
      <c r="AD76" s="1">
        <v>1E-3</v>
      </c>
      <c r="AE76" s="1">
        <v>7.0000000000000001E-3</v>
      </c>
    </row>
    <row r="77" spans="1:31" x14ac:dyDescent="0.25">
      <c r="A77" t="str">
        <f>B77&amp;VLOOKUP(D77, Lookups!$E$2:$F$8,2,FALSE)&amp;C77</f>
        <v>ColonEmergency presentation80-84</v>
      </c>
      <c r="B77" t="s">
        <v>17</v>
      </c>
      <c r="C77" t="s">
        <v>11</v>
      </c>
      <c r="D77" t="s">
        <v>33</v>
      </c>
      <c r="E77" s="1">
        <v>0.404082774049217</v>
      </c>
      <c r="F77" s="1">
        <v>1.9574944071588368E-2</v>
      </c>
      <c r="G77" s="1">
        <v>8.948545861297539E-3</v>
      </c>
      <c r="H77" s="1">
        <v>6.9630872483221473E-2</v>
      </c>
      <c r="I77" s="1">
        <v>3.0760626398210291E-3</v>
      </c>
      <c r="J77" s="1">
        <v>3.0760626398210291E-3</v>
      </c>
      <c r="K77" s="1">
        <v>0.48909395973154363</v>
      </c>
      <c r="L77" s="1">
        <v>2.5167785234899327E-3</v>
      </c>
      <c r="M77" s="1">
        <v>1</v>
      </c>
      <c r="N77" s="2">
        <v>3576</v>
      </c>
      <c r="P77" s="1">
        <v>0.38800000000000001</v>
      </c>
      <c r="Q77" s="1">
        <v>0.42</v>
      </c>
      <c r="R77" s="1">
        <v>1.6E-2</v>
      </c>
      <c r="S77" s="1">
        <v>2.5000000000000001E-2</v>
      </c>
      <c r="T77" s="1">
        <v>6.0000000000000001E-3</v>
      </c>
      <c r="U77" s="1">
        <v>1.2999999999999999E-2</v>
      </c>
      <c r="V77" s="1">
        <v>6.2E-2</v>
      </c>
      <c r="W77" s="1">
        <v>7.8E-2</v>
      </c>
      <c r="X77" s="1">
        <v>2E-3</v>
      </c>
      <c r="Y77" s="1">
        <v>6.0000000000000001E-3</v>
      </c>
      <c r="Z77" s="1">
        <v>2E-3</v>
      </c>
      <c r="AA77" s="1">
        <v>6.0000000000000001E-3</v>
      </c>
      <c r="AB77" s="1">
        <v>0.47299999999999998</v>
      </c>
      <c r="AC77" s="1">
        <v>0.505</v>
      </c>
      <c r="AD77" s="1">
        <v>1E-3</v>
      </c>
      <c r="AE77" s="1">
        <v>5.0000000000000001E-3</v>
      </c>
    </row>
    <row r="78" spans="1:31" x14ac:dyDescent="0.25">
      <c r="A78" t="str">
        <f>B78&amp;VLOOKUP(D78, Lookups!$E$2:$F$8,2,FALSE)&amp;C78</f>
        <v>ColonUnknown80-84</v>
      </c>
      <c r="B78" t="s">
        <v>17</v>
      </c>
      <c r="C78" t="s">
        <v>11</v>
      </c>
      <c r="D78" t="s">
        <v>4</v>
      </c>
      <c r="E78" s="1">
        <v>0.34285714285714286</v>
      </c>
      <c r="F78" s="1">
        <v>3.4285714285714287E-2</v>
      </c>
      <c r="G78" s="1">
        <v>2.2857142857142857E-2</v>
      </c>
      <c r="H78" s="1">
        <v>4.5714285714285714E-2</v>
      </c>
      <c r="I78" s="1">
        <v>0</v>
      </c>
      <c r="J78" s="1">
        <v>5.7142857142857143E-3</v>
      </c>
      <c r="K78" s="1">
        <v>0.54285714285714282</v>
      </c>
      <c r="L78" s="1">
        <v>5.7142857142857143E-3</v>
      </c>
      <c r="M78" s="1">
        <v>0.99999999999999989</v>
      </c>
      <c r="N78" s="2">
        <v>175</v>
      </c>
      <c r="P78" s="1">
        <v>0.27700000000000002</v>
      </c>
      <c r="Q78" s="1">
        <v>0.41599999999999998</v>
      </c>
      <c r="R78" s="1">
        <v>1.6E-2</v>
      </c>
      <c r="S78" s="1">
        <v>7.2999999999999995E-2</v>
      </c>
      <c r="T78" s="1">
        <v>8.9999999999999993E-3</v>
      </c>
      <c r="U78" s="1">
        <v>5.7000000000000002E-2</v>
      </c>
      <c r="V78" s="1">
        <v>2.3E-2</v>
      </c>
      <c r="W78" s="1">
        <v>8.7999999999999995E-2</v>
      </c>
      <c r="X78" s="1">
        <v>0</v>
      </c>
      <c r="Y78" s="1">
        <v>2.1000000000000001E-2</v>
      </c>
      <c r="Z78" s="1">
        <v>1E-3</v>
      </c>
      <c r="AA78" s="1">
        <v>3.2000000000000001E-2</v>
      </c>
      <c r="AB78" s="1">
        <v>0.46899999999999997</v>
      </c>
      <c r="AC78" s="1">
        <v>0.61499999999999999</v>
      </c>
      <c r="AD78" s="1">
        <v>1E-3</v>
      </c>
      <c r="AE78" s="1">
        <v>3.2000000000000001E-2</v>
      </c>
    </row>
    <row r="79" spans="1:31" x14ac:dyDescent="0.25">
      <c r="A79" t="str">
        <f>B79&amp;VLOOKUP(D79, Lookups!$E$2:$F$8,2,FALSE)&amp;C79</f>
        <v>ColonAll Routes80-84</v>
      </c>
      <c r="B79" t="s">
        <v>17</v>
      </c>
      <c r="C79" t="s">
        <v>11</v>
      </c>
      <c r="D79" t="s">
        <v>34</v>
      </c>
      <c r="E79" s="1">
        <v>0.52168345569404129</v>
      </c>
      <c r="F79" s="1">
        <v>4.2342496158442891E-2</v>
      </c>
      <c r="G79" s="1">
        <v>1.271982243469353E-2</v>
      </c>
      <c r="H79" s="1">
        <v>8.3831312958852655E-2</v>
      </c>
      <c r="I79" s="1">
        <v>5.9757555062318595E-3</v>
      </c>
      <c r="J79" s="1">
        <v>3.7561891753457402E-3</v>
      </c>
      <c r="K79" s="1">
        <v>0.32636161857606283</v>
      </c>
      <c r="L79" s="1">
        <v>3.3293494963291788E-3</v>
      </c>
      <c r="M79" s="1">
        <v>0.99999999999999989</v>
      </c>
      <c r="N79" s="2">
        <v>11714</v>
      </c>
      <c r="P79" s="1">
        <v>0.51300000000000001</v>
      </c>
      <c r="Q79" s="1">
        <v>0.53100000000000003</v>
      </c>
      <c r="R79" s="1">
        <v>3.9E-2</v>
      </c>
      <c r="S79" s="1">
        <v>4.5999999999999999E-2</v>
      </c>
      <c r="T79" s="1">
        <v>1.0999999999999999E-2</v>
      </c>
      <c r="U79" s="1">
        <v>1.4999999999999999E-2</v>
      </c>
      <c r="V79" s="1">
        <v>7.9000000000000001E-2</v>
      </c>
      <c r="W79" s="1">
        <v>8.8999999999999996E-2</v>
      </c>
      <c r="X79" s="1">
        <v>5.0000000000000001E-3</v>
      </c>
      <c r="Y79" s="1">
        <v>8.0000000000000002E-3</v>
      </c>
      <c r="Z79" s="1">
        <v>3.0000000000000001E-3</v>
      </c>
      <c r="AA79" s="1">
        <v>5.0000000000000001E-3</v>
      </c>
      <c r="AB79" s="1">
        <v>0.318</v>
      </c>
      <c r="AC79" s="1">
        <v>0.33500000000000002</v>
      </c>
      <c r="AD79" s="1">
        <v>2E-3</v>
      </c>
      <c r="AE79" s="1">
        <v>5.0000000000000001E-3</v>
      </c>
    </row>
    <row r="80" spans="1:31" x14ac:dyDescent="0.25">
      <c r="A80" t="str">
        <f>B80&amp;VLOOKUP(D80, Lookups!$E$2:$F$8,2,FALSE)&amp;C80</f>
        <v>ColonScreen detected85+</v>
      </c>
      <c r="B80" t="s">
        <v>17</v>
      </c>
      <c r="C80" t="s">
        <v>12</v>
      </c>
      <c r="D80" t="s">
        <v>30</v>
      </c>
      <c r="E80" s="1">
        <v>0.68421052631578949</v>
      </c>
      <c r="F80" s="1">
        <v>0</v>
      </c>
      <c r="G80" s="1">
        <v>5.2631578947368418E-2</v>
      </c>
      <c r="H80" s="1">
        <v>5.2631578947368418E-2</v>
      </c>
      <c r="I80" s="1">
        <v>0</v>
      </c>
      <c r="J80" s="1">
        <v>0</v>
      </c>
      <c r="K80" s="1">
        <v>0.21052631578947367</v>
      </c>
      <c r="L80" s="1">
        <v>0</v>
      </c>
      <c r="M80" s="1">
        <v>1</v>
      </c>
      <c r="N80" s="2">
        <v>19</v>
      </c>
      <c r="P80" s="1">
        <v>0.46</v>
      </c>
      <c r="Q80" s="1">
        <v>0.84599999999999997</v>
      </c>
      <c r="R80" s="1">
        <v>0</v>
      </c>
      <c r="S80" s="1">
        <v>0.16800000000000001</v>
      </c>
      <c r="T80" s="1">
        <v>8.9999999999999993E-3</v>
      </c>
      <c r="U80" s="1">
        <v>0.246</v>
      </c>
      <c r="V80" s="1">
        <v>8.9999999999999993E-3</v>
      </c>
      <c r="W80" s="1">
        <v>0.246</v>
      </c>
      <c r="X80" s="1">
        <v>0</v>
      </c>
      <c r="Y80" s="1">
        <v>0.16800000000000001</v>
      </c>
      <c r="Z80" s="1">
        <v>0</v>
      </c>
      <c r="AA80" s="1">
        <v>0.16800000000000001</v>
      </c>
      <c r="AB80" s="1">
        <v>8.5000000000000006E-2</v>
      </c>
      <c r="AC80" s="1">
        <v>0.433</v>
      </c>
      <c r="AD80" s="1">
        <v>0</v>
      </c>
      <c r="AE80" s="1">
        <v>0.16800000000000001</v>
      </c>
    </row>
    <row r="81" spans="1:31" x14ac:dyDescent="0.25">
      <c r="A81" t="str">
        <f>B81&amp;VLOOKUP(D81, Lookups!$E$2:$F$8,2,FALSE)&amp;C81</f>
        <v>ColonTwo Week Wait85+</v>
      </c>
      <c r="B81" t="s">
        <v>17</v>
      </c>
      <c r="C81" t="s">
        <v>12</v>
      </c>
      <c r="D81" t="s">
        <v>31</v>
      </c>
      <c r="E81" s="1">
        <v>0.5011219147344802</v>
      </c>
      <c r="F81" s="1">
        <v>2.056843679880329E-2</v>
      </c>
      <c r="G81" s="1">
        <v>1.4584891548242334E-2</v>
      </c>
      <c r="H81" s="1">
        <v>2.0942408376963352E-2</v>
      </c>
      <c r="I81" s="1">
        <v>6.3575168287210168E-3</v>
      </c>
      <c r="J81" s="1">
        <v>4.8616305160807775E-3</v>
      </c>
      <c r="K81" s="1">
        <v>0.42969334330590875</v>
      </c>
      <c r="L81" s="1">
        <v>1.8698578908002991E-3</v>
      </c>
      <c r="M81" s="1">
        <v>1</v>
      </c>
      <c r="N81" s="2">
        <v>2674</v>
      </c>
      <c r="P81" s="1">
        <v>0.48199999999999998</v>
      </c>
      <c r="Q81" s="1">
        <v>0.52</v>
      </c>
      <c r="R81" s="1">
        <v>1.6E-2</v>
      </c>
      <c r="S81" s="1">
        <v>2.7E-2</v>
      </c>
      <c r="T81" s="1">
        <v>1.0999999999999999E-2</v>
      </c>
      <c r="U81" s="1">
        <v>0.02</v>
      </c>
      <c r="V81" s="1">
        <v>1.6E-2</v>
      </c>
      <c r="W81" s="1">
        <v>2.7E-2</v>
      </c>
      <c r="X81" s="1">
        <v>4.0000000000000001E-3</v>
      </c>
      <c r="Y81" s="1">
        <v>0.01</v>
      </c>
      <c r="Z81" s="1">
        <v>3.0000000000000001E-3</v>
      </c>
      <c r="AA81" s="1">
        <v>8.0000000000000002E-3</v>
      </c>
      <c r="AB81" s="1">
        <v>0.41099999999999998</v>
      </c>
      <c r="AC81" s="1">
        <v>0.44900000000000001</v>
      </c>
      <c r="AD81" s="1">
        <v>1E-3</v>
      </c>
      <c r="AE81" s="1">
        <v>4.0000000000000001E-3</v>
      </c>
    </row>
    <row r="82" spans="1:31" x14ac:dyDescent="0.25">
      <c r="A82" t="str">
        <f>B82&amp;VLOOKUP(D82, Lookups!$E$2:$F$8,2,FALSE)&amp;C82</f>
        <v>ColonGP referral85+</v>
      </c>
      <c r="B82" t="s">
        <v>17</v>
      </c>
      <c r="C82" t="s">
        <v>12</v>
      </c>
      <c r="D82" t="s">
        <v>2</v>
      </c>
      <c r="E82" s="1">
        <v>0.40831109416698436</v>
      </c>
      <c r="F82" s="1">
        <v>1.2581014105985514E-2</v>
      </c>
      <c r="G82" s="1">
        <v>1.2199771254288982E-2</v>
      </c>
      <c r="H82" s="1">
        <v>1.5249714067861228E-2</v>
      </c>
      <c r="I82" s="1">
        <v>6.0998856271444911E-3</v>
      </c>
      <c r="J82" s="1">
        <v>1.5249714067861228E-3</v>
      </c>
      <c r="K82" s="1">
        <v>0.54403354937094928</v>
      </c>
      <c r="L82" s="1">
        <v>0</v>
      </c>
      <c r="M82" s="1">
        <v>1</v>
      </c>
      <c r="N82" s="2">
        <v>2623</v>
      </c>
      <c r="P82" s="1">
        <v>0.39</v>
      </c>
      <c r="Q82" s="1">
        <v>0.42699999999999999</v>
      </c>
      <c r="R82" s="1">
        <v>8.9999999999999993E-3</v>
      </c>
      <c r="S82" s="1">
        <v>1.7999999999999999E-2</v>
      </c>
      <c r="T82" s="1">
        <v>8.9999999999999993E-3</v>
      </c>
      <c r="U82" s="1">
        <v>1.7000000000000001E-2</v>
      </c>
      <c r="V82" s="1">
        <v>1.0999999999999999E-2</v>
      </c>
      <c r="W82" s="1">
        <v>2.1000000000000001E-2</v>
      </c>
      <c r="X82" s="1">
        <v>4.0000000000000001E-3</v>
      </c>
      <c r="Y82" s="1">
        <v>0.01</v>
      </c>
      <c r="Z82" s="1">
        <v>1E-3</v>
      </c>
      <c r="AA82" s="1">
        <v>4.0000000000000001E-3</v>
      </c>
      <c r="AB82" s="1">
        <v>0.52500000000000002</v>
      </c>
      <c r="AC82" s="1">
        <v>0.56299999999999994</v>
      </c>
      <c r="AD82" s="1">
        <v>0</v>
      </c>
      <c r="AE82" s="1">
        <v>1E-3</v>
      </c>
    </row>
    <row r="83" spans="1:31" x14ac:dyDescent="0.25">
      <c r="A83" t="str">
        <f>B83&amp;VLOOKUP(D83, Lookups!$E$2:$F$8,2,FALSE)&amp;C83</f>
        <v>ColonIP &amp; OP85+</v>
      </c>
      <c r="B83" t="s">
        <v>17</v>
      </c>
      <c r="C83" t="s">
        <v>12</v>
      </c>
      <c r="D83" t="s">
        <v>32</v>
      </c>
      <c r="E83" s="1">
        <v>0.43979057591623039</v>
      </c>
      <c r="F83" s="1">
        <v>1.4659685863874346E-2</v>
      </c>
      <c r="G83" s="1">
        <v>1.0471204188481676E-2</v>
      </c>
      <c r="H83" s="1">
        <v>1.4659685863874346E-2</v>
      </c>
      <c r="I83" s="1">
        <v>4.1884816753926706E-3</v>
      </c>
      <c r="J83" s="1">
        <v>1.0471204188481676E-3</v>
      </c>
      <c r="K83" s="1">
        <v>0.51308900523560208</v>
      </c>
      <c r="L83" s="1">
        <v>2.0942408376963353E-3</v>
      </c>
      <c r="M83" s="1">
        <v>1</v>
      </c>
      <c r="N83" s="2">
        <v>955</v>
      </c>
      <c r="P83" s="1">
        <v>0.40899999999999997</v>
      </c>
      <c r="Q83" s="1">
        <v>0.47099999999999997</v>
      </c>
      <c r="R83" s="1">
        <v>8.9999999999999993E-3</v>
      </c>
      <c r="S83" s="1">
        <v>2.4E-2</v>
      </c>
      <c r="T83" s="1">
        <v>6.0000000000000001E-3</v>
      </c>
      <c r="U83" s="1">
        <v>1.9E-2</v>
      </c>
      <c r="V83" s="1">
        <v>8.9999999999999993E-3</v>
      </c>
      <c r="W83" s="1">
        <v>2.4E-2</v>
      </c>
      <c r="X83" s="1">
        <v>2E-3</v>
      </c>
      <c r="Y83" s="1">
        <v>1.0999999999999999E-2</v>
      </c>
      <c r="Z83" s="1">
        <v>0</v>
      </c>
      <c r="AA83" s="1">
        <v>6.0000000000000001E-3</v>
      </c>
      <c r="AB83" s="1">
        <v>0.48099999999999998</v>
      </c>
      <c r="AC83" s="1">
        <v>0.54500000000000004</v>
      </c>
      <c r="AD83" s="1">
        <v>1E-3</v>
      </c>
      <c r="AE83" s="1">
        <v>8.0000000000000002E-3</v>
      </c>
    </row>
    <row r="84" spans="1:31" x14ac:dyDescent="0.25">
      <c r="A84" t="str">
        <f>B84&amp;VLOOKUP(D84, Lookups!$E$2:$F$8,2,FALSE)&amp;C84</f>
        <v>ColonEmergency presentation85+</v>
      </c>
      <c r="B84" t="s">
        <v>17</v>
      </c>
      <c r="C84" t="s">
        <v>12</v>
      </c>
      <c r="D84" t="s">
        <v>33</v>
      </c>
      <c r="E84" s="1">
        <v>0.26627994011976047</v>
      </c>
      <c r="F84" s="1">
        <v>2.4326347305389222E-3</v>
      </c>
      <c r="G84" s="1">
        <v>8.9820359281437123E-3</v>
      </c>
      <c r="H84" s="1">
        <v>5.9880239520958087E-3</v>
      </c>
      <c r="I84" s="1">
        <v>1.4970059880239522E-3</v>
      </c>
      <c r="J84" s="1">
        <v>3.7425149700598805E-4</v>
      </c>
      <c r="K84" s="1">
        <v>0.71388473053892221</v>
      </c>
      <c r="L84" s="1">
        <v>5.6137724550898202E-4</v>
      </c>
      <c r="M84" s="1">
        <v>1</v>
      </c>
      <c r="N84" s="2">
        <v>5344</v>
      </c>
      <c r="P84" s="1">
        <v>0.255</v>
      </c>
      <c r="Q84" s="1">
        <v>0.27800000000000002</v>
      </c>
      <c r="R84" s="1">
        <v>1E-3</v>
      </c>
      <c r="S84" s="1">
        <v>4.0000000000000001E-3</v>
      </c>
      <c r="T84" s="1">
        <v>7.0000000000000001E-3</v>
      </c>
      <c r="U84" s="1">
        <v>1.2E-2</v>
      </c>
      <c r="V84" s="1">
        <v>4.0000000000000001E-3</v>
      </c>
      <c r="W84" s="1">
        <v>8.0000000000000002E-3</v>
      </c>
      <c r="X84" s="1">
        <v>1E-3</v>
      </c>
      <c r="Y84" s="1">
        <v>3.0000000000000001E-3</v>
      </c>
      <c r="Z84" s="1">
        <v>0</v>
      </c>
      <c r="AA84" s="1">
        <v>1E-3</v>
      </c>
      <c r="AB84" s="1">
        <v>0.70199999999999996</v>
      </c>
      <c r="AC84" s="1">
        <v>0.72599999999999998</v>
      </c>
      <c r="AD84" s="1">
        <v>0</v>
      </c>
      <c r="AE84" s="1">
        <v>2E-3</v>
      </c>
    </row>
    <row r="85" spans="1:31" x14ac:dyDescent="0.25">
      <c r="A85" t="str">
        <f>B85&amp;VLOOKUP(D85, Lookups!$E$2:$F$8,2,FALSE)&amp;C85</f>
        <v>ColonUnknown85+</v>
      </c>
      <c r="B85" t="s">
        <v>17</v>
      </c>
      <c r="C85" t="s">
        <v>12</v>
      </c>
      <c r="D85" t="s">
        <v>4</v>
      </c>
      <c r="E85" s="1">
        <v>0.17253521126760563</v>
      </c>
      <c r="F85" s="1">
        <v>3.5211267605633804E-3</v>
      </c>
      <c r="G85" s="1">
        <v>7.0422535211267607E-3</v>
      </c>
      <c r="H85" s="1">
        <v>0</v>
      </c>
      <c r="I85" s="1">
        <v>0</v>
      </c>
      <c r="J85" s="1">
        <v>0</v>
      </c>
      <c r="K85" s="1">
        <v>0.81690140845070425</v>
      </c>
      <c r="L85" s="1">
        <v>0</v>
      </c>
      <c r="M85" s="1">
        <v>1</v>
      </c>
      <c r="N85" s="2">
        <v>284</v>
      </c>
      <c r="P85" s="1">
        <v>0.13300000000000001</v>
      </c>
      <c r="Q85" s="1">
        <v>0.221</v>
      </c>
      <c r="R85" s="1">
        <v>1E-3</v>
      </c>
      <c r="S85" s="1">
        <v>0.02</v>
      </c>
      <c r="T85" s="1">
        <v>2E-3</v>
      </c>
      <c r="U85" s="1">
        <v>2.5000000000000001E-2</v>
      </c>
      <c r="V85" s="1">
        <v>0</v>
      </c>
      <c r="W85" s="1">
        <v>1.2999999999999999E-2</v>
      </c>
      <c r="X85" s="1">
        <v>0</v>
      </c>
      <c r="Y85" s="1">
        <v>1.2999999999999999E-2</v>
      </c>
      <c r="Z85" s="1">
        <v>0</v>
      </c>
      <c r="AA85" s="1">
        <v>1.2999999999999999E-2</v>
      </c>
      <c r="AB85" s="1">
        <v>0.76800000000000002</v>
      </c>
      <c r="AC85" s="1">
        <v>0.85799999999999998</v>
      </c>
      <c r="AD85" s="1">
        <v>0</v>
      </c>
      <c r="AE85" s="1">
        <v>1.2999999999999999E-2</v>
      </c>
    </row>
    <row r="86" spans="1:31" x14ac:dyDescent="0.25">
      <c r="A86" t="str">
        <f>B86&amp;VLOOKUP(D86, Lookups!$E$2:$F$8,2,FALSE)&amp;C86</f>
        <v>ColonAll Routes85+</v>
      </c>
      <c r="B86" t="s">
        <v>17</v>
      </c>
      <c r="C86" t="s">
        <v>12</v>
      </c>
      <c r="D86" t="s">
        <v>34</v>
      </c>
      <c r="E86" s="1">
        <v>0.36271955626523239</v>
      </c>
      <c r="F86" s="1">
        <v>9.7487183796957731E-3</v>
      </c>
      <c r="G86" s="1">
        <v>1.1093369190688294E-2</v>
      </c>
      <c r="H86" s="1">
        <v>1.201781662324565E-2</v>
      </c>
      <c r="I86" s="1">
        <v>3.7818304059164635E-3</v>
      </c>
      <c r="J86" s="1">
        <v>1.6808135137406505E-3</v>
      </c>
      <c r="K86" s="1">
        <v>0.59811748886461047</v>
      </c>
      <c r="L86" s="1">
        <v>8.4040675687032523E-4</v>
      </c>
      <c r="M86" s="1">
        <v>1</v>
      </c>
      <c r="N86" s="2">
        <v>11899</v>
      </c>
      <c r="P86" s="1">
        <v>0.35399999999999998</v>
      </c>
      <c r="Q86" s="1">
        <v>0.371</v>
      </c>
      <c r="R86" s="1">
        <v>8.0000000000000002E-3</v>
      </c>
      <c r="S86" s="1">
        <v>1.2E-2</v>
      </c>
      <c r="T86" s="1">
        <v>8.9999999999999993E-3</v>
      </c>
      <c r="U86" s="1">
        <v>1.2999999999999999E-2</v>
      </c>
      <c r="V86" s="1">
        <v>0.01</v>
      </c>
      <c r="W86" s="1">
        <v>1.4E-2</v>
      </c>
      <c r="X86" s="1">
        <v>3.0000000000000001E-3</v>
      </c>
      <c r="Y86" s="1">
        <v>5.0000000000000001E-3</v>
      </c>
      <c r="Z86" s="1">
        <v>1E-3</v>
      </c>
      <c r="AA86" s="1">
        <v>3.0000000000000001E-3</v>
      </c>
      <c r="AB86" s="1">
        <v>0.58899999999999997</v>
      </c>
      <c r="AC86" s="1">
        <v>0.60699999999999998</v>
      </c>
      <c r="AD86" s="1">
        <v>0</v>
      </c>
      <c r="AE86" s="1">
        <v>2E-3</v>
      </c>
    </row>
    <row r="87" spans="1:31" x14ac:dyDescent="0.25">
      <c r="A87" t="str">
        <f>B87&amp;VLOOKUP(D87, Lookups!$E$2:$F$8,2,FALSE)&amp;C87</f>
        <v>RectumScreen detectedUnder 50</v>
      </c>
      <c r="B87" t="s">
        <v>18</v>
      </c>
      <c r="C87" t="s">
        <v>7</v>
      </c>
      <c r="D87" t="s">
        <v>30</v>
      </c>
      <c r="E87" s="1" t="s">
        <v>137</v>
      </c>
      <c r="F87" s="1" t="s">
        <v>137</v>
      </c>
      <c r="G87" s="1" t="s">
        <v>137</v>
      </c>
      <c r="H87" s="1" t="s">
        <v>137</v>
      </c>
      <c r="I87" s="1" t="s">
        <v>137</v>
      </c>
      <c r="J87" s="1" t="s">
        <v>137</v>
      </c>
      <c r="K87" s="1" t="s">
        <v>137</v>
      </c>
      <c r="L87" s="1" t="s">
        <v>137</v>
      </c>
      <c r="M87" s="1">
        <v>0</v>
      </c>
      <c r="N87" s="2">
        <v>0</v>
      </c>
      <c r="P87" s="1" t="e">
        <v>#VALUE!</v>
      </c>
      <c r="Q87" s="1" t="e">
        <v>#VALUE!</v>
      </c>
      <c r="R87" s="1" t="e">
        <v>#VALUE!</v>
      </c>
      <c r="S87" s="1" t="e">
        <v>#VALUE!</v>
      </c>
      <c r="T87" s="1" t="e">
        <v>#VALUE!</v>
      </c>
      <c r="U87" s="1" t="e">
        <v>#VALUE!</v>
      </c>
      <c r="V87" s="1" t="e">
        <v>#VALUE!</v>
      </c>
      <c r="W87" s="1" t="e">
        <v>#VALUE!</v>
      </c>
      <c r="X87" s="1" t="e">
        <v>#VALUE!</v>
      </c>
      <c r="Y87" s="1" t="e">
        <v>#VALUE!</v>
      </c>
      <c r="Z87" s="1" t="e">
        <v>#VALUE!</v>
      </c>
      <c r="AA87" s="1" t="e">
        <v>#VALUE!</v>
      </c>
      <c r="AB87" s="1" t="e">
        <v>#VALUE!</v>
      </c>
      <c r="AC87" s="1" t="e">
        <v>#VALUE!</v>
      </c>
      <c r="AD87" s="1" t="e">
        <v>#VALUE!</v>
      </c>
      <c r="AE87" s="1" t="e">
        <v>#VALUE!</v>
      </c>
    </row>
    <row r="88" spans="1:31" x14ac:dyDescent="0.25">
      <c r="A88" t="str">
        <f>B88&amp;VLOOKUP(D88, Lookups!$E$2:$F$8,2,FALSE)&amp;C88</f>
        <v>RectumTwo Week WaitUnder 50</v>
      </c>
      <c r="B88" t="s">
        <v>18</v>
      </c>
      <c r="C88" t="s">
        <v>7</v>
      </c>
      <c r="D88" t="s">
        <v>31</v>
      </c>
      <c r="E88" s="1">
        <v>0.14137931034482759</v>
      </c>
      <c r="F88" s="1">
        <v>9.1379310344827588E-2</v>
      </c>
      <c r="G88" s="1">
        <v>1.2068965517241379E-2</v>
      </c>
      <c r="H88" s="1">
        <v>0.15344827586206897</v>
      </c>
      <c r="I88" s="1">
        <v>4.3103448275862072E-2</v>
      </c>
      <c r="J88" s="1">
        <v>0.13275862068965516</v>
      </c>
      <c r="K88" s="1">
        <v>3.1034482758620689E-2</v>
      </c>
      <c r="L88" s="1">
        <v>0.39482758620689656</v>
      </c>
      <c r="M88" s="1">
        <v>1</v>
      </c>
      <c r="N88" s="2">
        <v>580</v>
      </c>
      <c r="P88" s="1">
        <v>0.115</v>
      </c>
      <c r="Q88" s="1">
        <v>0.17199999999999999</v>
      </c>
      <c r="R88" s="1">
        <v>7.0999999999999994E-2</v>
      </c>
      <c r="S88" s="1">
        <v>0.11799999999999999</v>
      </c>
      <c r="T88" s="1">
        <v>6.0000000000000001E-3</v>
      </c>
      <c r="U88" s="1">
        <v>2.5000000000000001E-2</v>
      </c>
      <c r="V88" s="1">
        <v>0.126</v>
      </c>
      <c r="W88" s="1">
        <v>0.185</v>
      </c>
      <c r="X88" s="1">
        <v>2.9000000000000001E-2</v>
      </c>
      <c r="Y88" s="1">
        <v>6.3E-2</v>
      </c>
      <c r="Z88" s="1">
        <v>0.108</v>
      </c>
      <c r="AA88" s="1">
        <v>0.16300000000000001</v>
      </c>
      <c r="AB88" s="1">
        <v>0.02</v>
      </c>
      <c r="AC88" s="1">
        <v>4.9000000000000002E-2</v>
      </c>
      <c r="AD88" s="1">
        <v>0.35599999999999998</v>
      </c>
      <c r="AE88" s="1">
        <v>0.435</v>
      </c>
    </row>
    <row r="89" spans="1:31" x14ac:dyDescent="0.25">
      <c r="A89" t="str">
        <f>B89&amp;VLOOKUP(D89, Lookups!$E$2:$F$8,2,FALSE)&amp;C89</f>
        <v>RectumGP referralUnder 50</v>
      </c>
      <c r="B89" t="s">
        <v>18</v>
      </c>
      <c r="C89" t="s">
        <v>7</v>
      </c>
      <c r="D89" t="s">
        <v>2</v>
      </c>
      <c r="E89" s="1">
        <v>0.23646723646723647</v>
      </c>
      <c r="F89" s="1">
        <v>5.9829059829059832E-2</v>
      </c>
      <c r="G89" s="1">
        <v>2.1367521367521368E-2</v>
      </c>
      <c r="H89" s="1">
        <v>0.16809116809116809</v>
      </c>
      <c r="I89" s="1">
        <v>4.2735042735042736E-2</v>
      </c>
      <c r="J89" s="1">
        <v>9.8290598290598288E-2</v>
      </c>
      <c r="K89" s="1">
        <v>9.9715099715099717E-2</v>
      </c>
      <c r="L89" s="1">
        <v>0.27350427350427353</v>
      </c>
      <c r="M89" s="1">
        <v>1</v>
      </c>
      <c r="N89" s="2">
        <v>702</v>
      </c>
      <c r="P89" s="1">
        <v>0.20699999999999999</v>
      </c>
      <c r="Q89" s="1">
        <v>0.26900000000000002</v>
      </c>
      <c r="R89" s="1">
        <v>4.4999999999999998E-2</v>
      </c>
      <c r="S89" s="1">
        <v>0.08</v>
      </c>
      <c r="T89" s="1">
        <v>1.2999999999999999E-2</v>
      </c>
      <c r="U89" s="1">
        <v>3.5000000000000003E-2</v>
      </c>
      <c r="V89" s="1">
        <v>0.14199999999999999</v>
      </c>
      <c r="W89" s="1">
        <v>0.19800000000000001</v>
      </c>
      <c r="X89" s="1">
        <v>0.03</v>
      </c>
      <c r="Y89" s="1">
        <v>0.06</v>
      </c>
      <c r="Z89" s="1">
        <v>7.8E-2</v>
      </c>
      <c r="AA89" s="1">
        <v>0.123</v>
      </c>
      <c r="AB89" s="1">
        <v>0.08</v>
      </c>
      <c r="AC89" s="1">
        <v>0.124</v>
      </c>
      <c r="AD89" s="1">
        <v>0.24199999999999999</v>
      </c>
      <c r="AE89" s="1">
        <v>0.308</v>
      </c>
    </row>
    <row r="90" spans="1:31" x14ac:dyDescent="0.25">
      <c r="A90" t="str">
        <f>B90&amp;VLOOKUP(D90, Lookups!$E$2:$F$8,2,FALSE)&amp;C90</f>
        <v>RectumIP &amp; OPUnder 50</v>
      </c>
      <c r="B90" t="s">
        <v>18</v>
      </c>
      <c r="C90" t="s">
        <v>7</v>
      </c>
      <c r="D90" t="s">
        <v>32</v>
      </c>
      <c r="E90" s="1">
        <v>0.27196652719665271</v>
      </c>
      <c r="F90" s="1">
        <v>7.5313807531380755E-2</v>
      </c>
      <c r="G90" s="1">
        <v>1.6736401673640166E-2</v>
      </c>
      <c r="H90" s="1">
        <v>0.16317991631799164</v>
      </c>
      <c r="I90" s="1">
        <v>1.2552301255230125E-2</v>
      </c>
      <c r="J90" s="1">
        <v>0.10878661087866109</v>
      </c>
      <c r="K90" s="1">
        <v>9.6234309623430964E-2</v>
      </c>
      <c r="L90" s="1">
        <v>0.25523012552301255</v>
      </c>
      <c r="M90" s="1">
        <v>1</v>
      </c>
      <c r="N90" s="2">
        <v>239</v>
      </c>
      <c r="P90" s="1">
        <v>0.219</v>
      </c>
      <c r="Q90" s="1">
        <v>0.33200000000000002</v>
      </c>
      <c r="R90" s="1">
        <v>4.8000000000000001E-2</v>
      </c>
      <c r="S90" s="1">
        <v>0.11600000000000001</v>
      </c>
      <c r="T90" s="1">
        <v>7.0000000000000001E-3</v>
      </c>
      <c r="U90" s="1">
        <v>4.2000000000000003E-2</v>
      </c>
      <c r="V90" s="1">
        <v>0.122</v>
      </c>
      <c r="W90" s="1">
        <v>0.215</v>
      </c>
      <c r="X90" s="1">
        <v>4.0000000000000001E-3</v>
      </c>
      <c r="Y90" s="1">
        <v>3.5999999999999997E-2</v>
      </c>
      <c r="Z90" s="1">
        <v>7.4999999999999997E-2</v>
      </c>
      <c r="AA90" s="1">
        <v>0.155</v>
      </c>
      <c r="AB90" s="1">
        <v>6.5000000000000002E-2</v>
      </c>
      <c r="AC90" s="1">
        <v>0.14000000000000001</v>
      </c>
      <c r="AD90" s="1">
        <v>0.20399999999999999</v>
      </c>
      <c r="AE90" s="1">
        <v>0.314</v>
      </c>
    </row>
    <row r="91" spans="1:31" x14ac:dyDescent="0.25">
      <c r="A91" t="str">
        <f>B91&amp;VLOOKUP(D91, Lookups!$E$2:$F$8,2,FALSE)&amp;C91</f>
        <v>RectumEmergency presentationUnder 50</v>
      </c>
      <c r="B91" t="s">
        <v>18</v>
      </c>
      <c r="C91" t="s">
        <v>7</v>
      </c>
      <c r="D91" t="s">
        <v>33</v>
      </c>
      <c r="E91" s="1">
        <v>7.6023391812865493E-2</v>
      </c>
      <c r="F91" s="1">
        <v>0.13450292397660818</v>
      </c>
      <c r="G91" s="1">
        <v>2.9239766081871343E-2</v>
      </c>
      <c r="H91" s="1">
        <v>0.12865497076023391</v>
      </c>
      <c r="I91" s="1">
        <v>1.7543859649122806E-2</v>
      </c>
      <c r="J91" s="1">
        <v>0.21052631578947367</v>
      </c>
      <c r="K91" s="1">
        <v>0.16959064327485379</v>
      </c>
      <c r="L91" s="1">
        <v>0.23391812865497075</v>
      </c>
      <c r="M91" s="1">
        <v>1</v>
      </c>
      <c r="N91" s="2">
        <v>171</v>
      </c>
      <c r="P91" s="1">
        <v>4.4999999999999998E-2</v>
      </c>
      <c r="Q91" s="1">
        <v>0.126</v>
      </c>
      <c r="R91" s="1">
        <v>9.0999999999999998E-2</v>
      </c>
      <c r="S91" s="1">
        <v>0.19400000000000001</v>
      </c>
      <c r="T91" s="1">
        <v>1.2999999999999999E-2</v>
      </c>
      <c r="U91" s="1">
        <v>6.7000000000000004E-2</v>
      </c>
      <c r="V91" s="1">
        <v>8.6999999999999994E-2</v>
      </c>
      <c r="W91" s="1">
        <v>0.187</v>
      </c>
      <c r="X91" s="1">
        <v>6.0000000000000001E-3</v>
      </c>
      <c r="Y91" s="1">
        <v>0.05</v>
      </c>
      <c r="Z91" s="1">
        <v>0.156</v>
      </c>
      <c r="AA91" s="1">
        <v>0.27800000000000002</v>
      </c>
      <c r="AB91" s="1">
        <v>0.121</v>
      </c>
      <c r="AC91" s="1">
        <v>0.23300000000000001</v>
      </c>
      <c r="AD91" s="1">
        <v>0.17699999999999999</v>
      </c>
      <c r="AE91" s="1">
        <v>0.30299999999999999</v>
      </c>
    </row>
    <row r="92" spans="1:31" x14ac:dyDescent="0.25">
      <c r="A92" t="str">
        <f>B92&amp;VLOOKUP(D92, Lookups!$E$2:$F$8,2,FALSE)&amp;C92</f>
        <v>RectumUnknownUnder 50</v>
      </c>
      <c r="B92" t="s">
        <v>18</v>
      </c>
      <c r="C92" t="s">
        <v>7</v>
      </c>
      <c r="D92" t="s">
        <v>4</v>
      </c>
      <c r="E92" s="1">
        <v>0.22689075630252101</v>
      </c>
      <c r="F92" s="1">
        <v>6.7226890756302518E-2</v>
      </c>
      <c r="G92" s="1">
        <v>5.0420168067226892E-2</v>
      </c>
      <c r="H92" s="1">
        <v>5.8823529411764705E-2</v>
      </c>
      <c r="I92" s="1">
        <v>5.8823529411764705E-2</v>
      </c>
      <c r="J92" s="1">
        <v>5.8823529411764705E-2</v>
      </c>
      <c r="K92" s="1">
        <v>0.31092436974789917</v>
      </c>
      <c r="L92" s="1">
        <v>0.16806722689075632</v>
      </c>
      <c r="M92" s="1">
        <v>1</v>
      </c>
      <c r="N92" s="2">
        <v>119</v>
      </c>
      <c r="P92" s="1">
        <v>0.161</v>
      </c>
      <c r="Q92" s="1">
        <v>0.31</v>
      </c>
      <c r="R92" s="1">
        <v>3.4000000000000002E-2</v>
      </c>
      <c r="S92" s="1">
        <v>0.127</v>
      </c>
      <c r="T92" s="1">
        <v>2.3E-2</v>
      </c>
      <c r="U92" s="1">
        <v>0.106</v>
      </c>
      <c r="V92" s="1">
        <v>2.9000000000000001E-2</v>
      </c>
      <c r="W92" s="1">
        <v>0.11600000000000001</v>
      </c>
      <c r="X92" s="1">
        <v>2.9000000000000001E-2</v>
      </c>
      <c r="Y92" s="1">
        <v>0.11600000000000001</v>
      </c>
      <c r="Z92" s="1">
        <v>2.9000000000000001E-2</v>
      </c>
      <c r="AA92" s="1">
        <v>0.11600000000000001</v>
      </c>
      <c r="AB92" s="1">
        <v>0.23499999999999999</v>
      </c>
      <c r="AC92" s="1">
        <v>0.39900000000000002</v>
      </c>
      <c r="AD92" s="1">
        <v>0.112</v>
      </c>
      <c r="AE92" s="1">
        <v>0.245</v>
      </c>
    </row>
    <row r="93" spans="1:31" x14ac:dyDescent="0.25">
      <c r="A93" t="str">
        <f>B93&amp;VLOOKUP(D93, Lookups!$E$2:$F$8,2,FALSE)&amp;C93</f>
        <v>RectumAll RoutesUnder 50</v>
      </c>
      <c r="B93" t="s">
        <v>18</v>
      </c>
      <c r="C93" t="s">
        <v>7</v>
      </c>
      <c r="D93" t="s">
        <v>34</v>
      </c>
      <c r="E93" s="1">
        <v>0.19491993373826616</v>
      </c>
      <c r="F93" s="1">
        <v>7.9514080618442853E-2</v>
      </c>
      <c r="G93" s="1">
        <v>2.0430701270016567E-2</v>
      </c>
      <c r="H93" s="1">
        <v>0.15184980673660961</v>
      </c>
      <c r="I93" s="1">
        <v>3.7548315847598011E-2</v>
      </c>
      <c r="J93" s="1">
        <v>0.11871893981225842</v>
      </c>
      <c r="K93" s="1">
        <v>9.7736057426835998E-2</v>
      </c>
      <c r="L93" s="1">
        <v>0.29928216454997242</v>
      </c>
      <c r="M93" s="1">
        <v>1</v>
      </c>
      <c r="N93" s="2">
        <v>1811</v>
      </c>
      <c r="P93" s="1">
        <v>0.17699999999999999</v>
      </c>
      <c r="Q93" s="1">
        <v>0.214</v>
      </c>
      <c r="R93" s="1">
        <v>6.8000000000000005E-2</v>
      </c>
      <c r="S93" s="1">
        <v>9.2999999999999999E-2</v>
      </c>
      <c r="T93" s="1">
        <v>1.4999999999999999E-2</v>
      </c>
      <c r="U93" s="1">
        <v>2.8000000000000001E-2</v>
      </c>
      <c r="V93" s="1">
        <v>0.13600000000000001</v>
      </c>
      <c r="W93" s="1">
        <v>0.16900000000000001</v>
      </c>
      <c r="X93" s="1">
        <v>0.03</v>
      </c>
      <c r="Y93" s="1">
        <v>4.7E-2</v>
      </c>
      <c r="Z93" s="1">
        <v>0.105</v>
      </c>
      <c r="AA93" s="1">
        <v>0.13400000000000001</v>
      </c>
      <c r="AB93" s="1">
        <v>8.5000000000000006E-2</v>
      </c>
      <c r="AC93" s="1">
        <v>0.112</v>
      </c>
      <c r="AD93" s="1">
        <v>0.27900000000000003</v>
      </c>
      <c r="AE93" s="1">
        <v>0.32100000000000001</v>
      </c>
    </row>
    <row r="94" spans="1:31" x14ac:dyDescent="0.25">
      <c r="A94" t="str">
        <f>B94&amp;VLOOKUP(D94, Lookups!$E$2:$F$8,2,FALSE)&amp;C94</f>
        <v>RectumScreen detected50-59</v>
      </c>
      <c r="B94" t="s">
        <v>18</v>
      </c>
      <c r="C94" t="s">
        <v>8</v>
      </c>
      <c r="D94" t="s">
        <v>30</v>
      </c>
      <c r="E94" s="1">
        <v>0.5714285714285714</v>
      </c>
      <c r="F94" s="1">
        <v>0</v>
      </c>
      <c r="G94" s="1">
        <v>0</v>
      </c>
      <c r="H94" s="1">
        <v>0.14285714285714285</v>
      </c>
      <c r="I94" s="1">
        <v>0.14285714285714285</v>
      </c>
      <c r="J94" s="1">
        <v>0</v>
      </c>
      <c r="K94" s="1">
        <v>0</v>
      </c>
      <c r="L94" s="1">
        <v>0.14285714285714285</v>
      </c>
      <c r="M94" s="1">
        <v>0.99999999999999978</v>
      </c>
      <c r="N94" s="2">
        <v>14</v>
      </c>
      <c r="P94" s="1">
        <v>0.32600000000000001</v>
      </c>
      <c r="Q94" s="1">
        <v>0.78600000000000003</v>
      </c>
      <c r="R94" s="1">
        <v>0</v>
      </c>
      <c r="S94" s="1">
        <v>0.215</v>
      </c>
      <c r="T94" s="1">
        <v>0</v>
      </c>
      <c r="U94" s="1">
        <v>0.215</v>
      </c>
      <c r="V94" s="1">
        <v>0.04</v>
      </c>
      <c r="W94" s="1">
        <v>0.39900000000000002</v>
      </c>
      <c r="X94" s="1">
        <v>0.04</v>
      </c>
      <c r="Y94" s="1">
        <v>0.39900000000000002</v>
      </c>
      <c r="Z94" s="1">
        <v>0</v>
      </c>
      <c r="AA94" s="1">
        <v>0.215</v>
      </c>
      <c r="AB94" s="1">
        <v>0</v>
      </c>
      <c r="AC94" s="1">
        <v>0.215</v>
      </c>
      <c r="AD94" s="1">
        <v>0.04</v>
      </c>
      <c r="AE94" s="1">
        <v>0.39900000000000002</v>
      </c>
    </row>
    <row r="95" spans="1:31" x14ac:dyDescent="0.25">
      <c r="A95" t="str">
        <f>B95&amp;VLOOKUP(D95, Lookups!$E$2:$F$8,2,FALSE)&amp;C95</f>
        <v>RectumTwo Week Wait50-59</v>
      </c>
      <c r="B95" t="s">
        <v>18</v>
      </c>
      <c r="C95" t="s">
        <v>8</v>
      </c>
      <c r="D95" t="s">
        <v>31</v>
      </c>
      <c r="E95" s="1">
        <v>0.19569892473118281</v>
      </c>
      <c r="F95" s="1">
        <v>7.5806451612903225E-2</v>
      </c>
      <c r="G95" s="1">
        <v>1.2903225806451613E-2</v>
      </c>
      <c r="H95" s="1">
        <v>0.14946236559139786</v>
      </c>
      <c r="I95" s="1">
        <v>4.9462365591397849E-2</v>
      </c>
      <c r="J95" s="1">
        <v>0.12741935483870967</v>
      </c>
      <c r="K95" s="1">
        <v>2.6344086021505377E-2</v>
      </c>
      <c r="L95" s="1">
        <v>0.36290322580645162</v>
      </c>
      <c r="M95" s="1">
        <v>1</v>
      </c>
      <c r="N95" s="2">
        <v>1860</v>
      </c>
      <c r="P95" s="1">
        <v>0.17799999999999999</v>
      </c>
      <c r="Q95" s="1">
        <v>0.214</v>
      </c>
      <c r="R95" s="1">
        <v>6.5000000000000002E-2</v>
      </c>
      <c r="S95" s="1">
        <v>8.8999999999999996E-2</v>
      </c>
      <c r="T95" s="1">
        <v>8.9999999999999993E-3</v>
      </c>
      <c r="U95" s="1">
        <v>1.9E-2</v>
      </c>
      <c r="V95" s="1">
        <v>0.13400000000000001</v>
      </c>
      <c r="W95" s="1">
        <v>0.16600000000000001</v>
      </c>
      <c r="X95" s="1">
        <v>4.1000000000000002E-2</v>
      </c>
      <c r="Y95" s="1">
        <v>0.06</v>
      </c>
      <c r="Z95" s="1">
        <v>0.113</v>
      </c>
      <c r="AA95" s="1">
        <v>0.14299999999999999</v>
      </c>
      <c r="AB95" s="1">
        <v>0.02</v>
      </c>
      <c r="AC95" s="1">
        <v>3.5000000000000003E-2</v>
      </c>
      <c r="AD95" s="1">
        <v>0.34100000000000003</v>
      </c>
      <c r="AE95" s="1">
        <v>0.38500000000000001</v>
      </c>
    </row>
    <row r="96" spans="1:31" x14ac:dyDescent="0.25">
      <c r="A96" t="str">
        <f>B96&amp;VLOOKUP(D96, Lookups!$E$2:$F$8,2,FALSE)&amp;C96</f>
        <v>RectumGP referral50-59</v>
      </c>
      <c r="B96" t="s">
        <v>18</v>
      </c>
      <c r="C96" t="s">
        <v>8</v>
      </c>
      <c r="D96" t="s">
        <v>2</v>
      </c>
      <c r="E96" s="1">
        <v>0.27951807228915665</v>
      </c>
      <c r="F96" s="1">
        <v>5.1405622489959842E-2</v>
      </c>
      <c r="G96" s="1">
        <v>1.9277108433734941E-2</v>
      </c>
      <c r="H96" s="1">
        <v>0.14779116465863454</v>
      </c>
      <c r="I96" s="1">
        <v>5.2208835341365459E-2</v>
      </c>
      <c r="J96" s="1">
        <v>0.10522088353413654</v>
      </c>
      <c r="K96" s="1">
        <v>8.1124497991967873E-2</v>
      </c>
      <c r="L96" s="1">
        <v>0.26345381526104417</v>
      </c>
      <c r="M96" s="1">
        <v>0.99999999999999989</v>
      </c>
      <c r="N96" s="2">
        <v>1245</v>
      </c>
      <c r="P96" s="1">
        <v>0.255</v>
      </c>
      <c r="Q96" s="1">
        <v>0.30499999999999999</v>
      </c>
      <c r="R96" s="1">
        <v>0.04</v>
      </c>
      <c r="S96" s="1">
        <v>6.5000000000000002E-2</v>
      </c>
      <c r="T96" s="1">
        <v>1.2999999999999999E-2</v>
      </c>
      <c r="U96" s="1">
        <v>2.9000000000000001E-2</v>
      </c>
      <c r="V96" s="1">
        <v>0.129</v>
      </c>
      <c r="W96" s="1">
        <v>0.16900000000000001</v>
      </c>
      <c r="X96" s="1">
        <v>4.1000000000000002E-2</v>
      </c>
      <c r="Y96" s="1">
        <v>6.6000000000000003E-2</v>
      </c>
      <c r="Z96" s="1">
        <v>8.8999999999999996E-2</v>
      </c>
      <c r="AA96" s="1">
        <v>0.123</v>
      </c>
      <c r="AB96" s="1">
        <v>6.7000000000000004E-2</v>
      </c>
      <c r="AC96" s="1">
        <v>9.8000000000000004E-2</v>
      </c>
      <c r="AD96" s="1">
        <v>0.24</v>
      </c>
      <c r="AE96" s="1">
        <v>0.28899999999999998</v>
      </c>
    </row>
    <row r="97" spans="1:31" x14ac:dyDescent="0.25">
      <c r="A97" t="str">
        <f>B97&amp;VLOOKUP(D97, Lookups!$E$2:$F$8,2,FALSE)&amp;C97</f>
        <v>RectumIP &amp; OP50-59</v>
      </c>
      <c r="B97" t="s">
        <v>18</v>
      </c>
      <c r="C97" t="s">
        <v>8</v>
      </c>
      <c r="D97" t="s">
        <v>32</v>
      </c>
      <c r="E97" s="1">
        <v>0.32270916334661354</v>
      </c>
      <c r="F97" s="1">
        <v>5.3784860557768925E-2</v>
      </c>
      <c r="G97" s="1">
        <v>1.3944223107569721E-2</v>
      </c>
      <c r="H97" s="1">
        <v>0.16334661354581673</v>
      </c>
      <c r="I97" s="1">
        <v>3.5856573705179286E-2</v>
      </c>
      <c r="J97" s="1">
        <v>9.9601593625498003E-2</v>
      </c>
      <c r="K97" s="1">
        <v>9.1633466135458169E-2</v>
      </c>
      <c r="L97" s="1">
        <v>0.21912350597609562</v>
      </c>
      <c r="M97" s="1">
        <v>1</v>
      </c>
      <c r="N97" s="2">
        <v>502</v>
      </c>
      <c r="P97" s="1">
        <v>0.28299999999999997</v>
      </c>
      <c r="Q97" s="1">
        <v>0.36499999999999999</v>
      </c>
      <c r="R97" s="1">
        <v>3.6999999999999998E-2</v>
      </c>
      <c r="S97" s="1">
        <v>7.6999999999999999E-2</v>
      </c>
      <c r="T97" s="1">
        <v>7.0000000000000001E-3</v>
      </c>
      <c r="U97" s="1">
        <v>2.9000000000000001E-2</v>
      </c>
      <c r="V97" s="1">
        <v>0.13400000000000001</v>
      </c>
      <c r="W97" s="1">
        <v>0.19800000000000001</v>
      </c>
      <c r="X97" s="1">
        <v>2.3E-2</v>
      </c>
      <c r="Y97" s="1">
        <v>5.6000000000000001E-2</v>
      </c>
      <c r="Z97" s="1">
        <v>7.5999999999999998E-2</v>
      </c>
      <c r="AA97" s="1">
        <v>0.129</v>
      </c>
      <c r="AB97" s="1">
        <v>6.9000000000000006E-2</v>
      </c>
      <c r="AC97" s="1">
        <v>0.12</v>
      </c>
      <c r="AD97" s="1">
        <v>0.185</v>
      </c>
      <c r="AE97" s="1">
        <v>0.25700000000000001</v>
      </c>
    </row>
    <row r="98" spans="1:31" x14ac:dyDescent="0.25">
      <c r="A98" t="str">
        <f>B98&amp;VLOOKUP(D98, Lookups!$E$2:$F$8,2,FALSE)&amp;C98</f>
        <v>RectumEmergency presentation50-59</v>
      </c>
      <c r="B98" t="s">
        <v>18</v>
      </c>
      <c r="C98" t="s">
        <v>8</v>
      </c>
      <c r="D98" t="s">
        <v>33</v>
      </c>
      <c r="E98" s="1">
        <v>0.11029411764705882</v>
      </c>
      <c r="F98" s="1">
        <v>0.13235294117647059</v>
      </c>
      <c r="G98" s="1">
        <v>6.6176470588235295E-2</v>
      </c>
      <c r="H98" s="1">
        <v>0.14338235294117646</v>
      </c>
      <c r="I98" s="1">
        <v>3.6764705882352942E-2</v>
      </c>
      <c r="J98" s="1">
        <v>0.13602941176470587</v>
      </c>
      <c r="K98" s="1">
        <v>0.1875</v>
      </c>
      <c r="L98" s="1">
        <v>0.1875</v>
      </c>
      <c r="M98" s="1">
        <v>1</v>
      </c>
      <c r="N98" s="2">
        <v>272</v>
      </c>
      <c r="P98" s="1">
        <v>7.8E-2</v>
      </c>
      <c r="Q98" s="1">
        <v>0.153</v>
      </c>
      <c r="R98" s="1">
        <v>9.7000000000000003E-2</v>
      </c>
      <c r="S98" s="1">
        <v>0.17799999999999999</v>
      </c>
      <c r="T98" s="1">
        <v>4.2000000000000003E-2</v>
      </c>
      <c r="U98" s="1">
        <v>0.10199999999999999</v>
      </c>
      <c r="V98" s="1">
        <v>0.107</v>
      </c>
      <c r="W98" s="1">
        <v>0.19</v>
      </c>
      <c r="X98" s="1">
        <v>0.02</v>
      </c>
      <c r="Y98" s="1">
        <v>6.6000000000000003E-2</v>
      </c>
      <c r="Z98" s="1">
        <v>0.1</v>
      </c>
      <c r="AA98" s="1">
        <v>0.182</v>
      </c>
      <c r="AB98" s="1">
        <v>0.14599999999999999</v>
      </c>
      <c r="AC98" s="1">
        <v>0.23799999999999999</v>
      </c>
      <c r="AD98" s="1">
        <v>0.14599999999999999</v>
      </c>
      <c r="AE98" s="1">
        <v>0.23799999999999999</v>
      </c>
    </row>
    <row r="99" spans="1:31" x14ac:dyDescent="0.25">
      <c r="A99" t="str">
        <f>B99&amp;VLOOKUP(D99, Lookups!$E$2:$F$8,2,FALSE)&amp;C99</f>
        <v>RectumUnknown50-59</v>
      </c>
      <c r="B99" t="s">
        <v>18</v>
      </c>
      <c r="C99" t="s">
        <v>8</v>
      </c>
      <c r="D99" t="s">
        <v>4</v>
      </c>
      <c r="E99" s="1">
        <v>0.30635838150289019</v>
      </c>
      <c r="F99" s="1">
        <v>6.358381502890173E-2</v>
      </c>
      <c r="G99" s="1">
        <v>6.358381502890173E-2</v>
      </c>
      <c r="H99" s="1">
        <v>0.13294797687861271</v>
      </c>
      <c r="I99" s="1">
        <v>5.2023121387283239E-2</v>
      </c>
      <c r="J99" s="1">
        <v>8.0924855491329481E-2</v>
      </c>
      <c r="K99" s="1">
        <v>0.1791907514450867</v>
      </c>
      <c r="L99" s="1">
        <v>0.12138728323699421</v>
      </c>
      <c r="M99" s="1">
        <v>1</v>
      </c>
      <c r="N99" s="2">
        <v>173</v>
      </c>
      <c r="P99" s="1">
        <v>0.24199999999999999</v>
      </c>
      <c r="Q99" s="1">
        <v>0.379</v>
      </c>
      <c r="R99" s="1">
        <v>3.5999999999999997E-2</v>
      </c>
      <c r="S99" s="1">
        <v>0.11</v>
      </c>
      <c r="T99" s="1">
        <v>3.5999999999999997E-2</v>
      </c>
      <c r="U99" s="1">
        <v>0.11</v>
      </c>
      <c r="V99" s="1">
        <v>0.09</v>
      </c>
      <c r="W99" s="1">
        <v>0.192</v>
      </c>
      <c r="X99" s="1">
        <v>2.8000000000000001E-2</v>
      </c>
      <c r="Y99" s="1">
        <v>9.6000000000000002E-2</v>
      </c>
      <c r="Z99" s="1">
        <v>4.9000000000000002E-2</v>
      </c>
      <c r="AA99" s="1">
        <v>0.13100000000000001</v>
      </c>
      <c r="AB99" s="1">
        <v>0.129</v>
      </c>
      <c r="AC99" s="1">
        <v>0.24299999999999999</v>
      </c>
      <c r="AD99" s="1">
        <v>8.1000000000000003E-2</v>
      </c>
      <c r="AE99" s="1">
        <v>0.17799999999999999</v>
      </c>
    </row>
    <row r="100" spans="1:31" x14ac:dyDescent="0.25">
      <c r="A100" t="str">
        <f>B100&amp;VLOOKUP(D100, Lookups!$E$2:$F$8,2,FALSE)&amp;C100</f>
        <v>RectumAll Routes50-59</v>
      </c>
      <c r="B100" t="s">
        <v>18</v>
      </c>
      <c r="C100" t="s">
        <v>8</v>
      </c>
      <c r="D100" t="s">
        <v>34</v>
      </c>
      <c r="E100" s="1">
        <v>0.23733398917855386</v>
      </c>
      <c r="F100" s="1">
        <v>6.861780619773733E-2</v>
      </c>
      <c r="G100" s="1">
        <v>2.0659124446630595E-2</v>
      </c>
      <c r="H100" s="1">
        <v>0.14953271028037382</v>
      </c>
      <c r="I100" s="1">
        <v>4.8204623708804725E-2</v>
      </c>
      <c r="J100" s="1">
        <v>0.11534677816035416</v>
      </c>
      <c r="K100" s="1">
        <v>6.8371864240039354E-2</v>
      </c>
      <c r="L100" s="1">
        <v>0.29193310378750614</v>
      </c>
      <c r="M100" s="1">
        <v>1</v>
      </c>
      <c r="N100" s="2">
        <v>4066</v>
      </c>
      <c r="P100" s="1">
        <v>0.22500000000000001</v>
      </c>
      <c r="Q100" s="1">
        <v>0.251</v>
      </c>
      <c r="R100" s="1">
        <v>6.0999999999999999E-2</v>
      </c>
      <c r="S100" s="1">
        <v>7.6999999999999999E-2</v>
      </c>
      <c r="T100" s="1">
        <v>1.7000000000000001E-2</v>
      </c>
      <c r="U100" s="1">
        <v>2.5999999999999999E-2</v>
      </c>
      <c r="V100" s="1">
        <v>0.13900000000000001</v>
      </c>
      <c r="W100" s="1">
        <v>0.161</v>
      </c>
      <c r="X100" s="1">
        <v>4.2000000000000003E-2</v>
      </c>
      <c r="Y100" s="1">
        <v>5.5E-2</v>
      </c>
      <c r="Z100" s="1">
        <v>0.106</v>
      </c>
      <c r="AA100" s="1">
        <v>0.126</v>
      </c>
      <c r="AB100" s="1">
        <v>6.0999999999999999E-2</v>
      </c>
      <c r="AC100" s="1">
        <v>7.6999999999999999E-2</v>
      </c>
      <c r="AD100" s="1">
        <v>0.27800000000000002</v>
      </c>
      <c r="AE100" s="1">
        <v>0.30599999999999999</v>
      </c>
    </row>
    <row r="101" spans="1:31" x14ac:dyDescent="0.25">
      <c r="A101" t="str">
        <f>B101&amp;VLOOKUP(D101, Lookups!$E$2:$F$8,2,FALSE)&amp;C101</f>
        <v>RectumScreen detected60-69</v>
      </c>
      <c r="B101" t="s">
        <v>18</v>
      </c>
      <c r="C101" t="s">
        <v>9</v>
      </c>
      <c r="D101" t="s">
        <v>30</v>
      </c>
      <c r="E101" s="1">
        <v>0.45154639175257733</v>
      </c>
      <c r="F101" s="1">
        <v>2.4742268041237112E-2</v>
      </c>
      <c r="G101" s="1">
        <v>1.2886597938144329E-2</v>
      </c>
      <c r="H101" s="1">
        <v>0.19072164948453607</v>
      </c>
      <c r="I101" s="1">
        <v>6.8556701030927841E-2</v>
      </c>
      <c r="J101" s="1">
        <v>4.3814432989690719E-2</v>
      </c>
      <c r="K101" s="1">
        <v>3.3505154639175257E-2</v>
      </c>
      <c r="L101" s="1">
        <v>0.17422680412371133</v>
      </c>
      <c r="M101" s="1">
        <v>1</v>
      </c>
      <c r="N101" s="2">
        <v>1940</v>
      </c>
      <c r="P101" s="1">
        <v>0.43</v>
      </c>
      <c r="Q101" s="1">
        <v>0.47399999999999998</v>
      </c>
      <c r="R101" s="1">
        <v>1.9E-2</v>
      </c>
      <c r="S101" s="1">
        <v>3.3000000000000002E-2</v>
      </c>
      <c r="T101" s="1">
        <v>8.9999999999999993E-3</v>
      </c>
      <c r="U101" s="1">
        <v>1.9E-2</v>
      </c>
      <c r="V101" s="1">
        <v>0.17399999999999999</v>
      </c>
      <c r="W101" s="1">
        <v>0.20899999999999999</v>
      </c>
      <c r="X101" s="1">
        <v>5.8000000000000003E-2</v>
      </c>
      <c r="Y101" s="1">
        <v>8.1000000000000003E-2</v>
      </c>
      <c r="Z101" s="1">
        <v>3.5999999999999997E-2</v>
      </c>
      <c r="AA101" s="1">
        <v>5.3999999999999999E-2</v>
      </c>
      <c r="AB101" s="1">
        <v>2.5999999999999999E-2</v>
      </c>
      <c r="AC101" s="1">
        <v>4.2000000000000003E-2</v>
      </c>
      <c r="AD101" s="1">
        <v>0.158</v>
      </c>
      <c r="AE101" s="1">
        <v>0.192</v>
      </c>
    </row>
    <row r="102" spans="1:31" x14ac:dyDescent="0.25">
      <c r="A102" t="str">
        <f>B102&amp;VLOOKUP(D102, Lookups!$E$2:$F$8,2,FALSE)&amp;C102</f>
        <v>RectumTwo Week Wait60-69</v>
      </c>
      <c r="B102" t="s">
        <v>18</v>
      </c>
      <c r="C102" t="s">
        <v>9</v>
      </c>
      <c r="D102" t="s">
        <v>31</v>
      </c>
      <c r="E102" s="1">
        <v>0.2223024178996752</v>
      </c>
      <c r="F102" s="1">
        <v>8.0476362324070738E-2</v>
      </c>
      <c r="G102" s="1">
        <v>2.9231324431613137E-2</v>
      </c>
      <c r="H102" s="1">
        <v>0.15590039696860339</v>
      </c>
      <c r="I102" s="1">
        <v>7.5424034644532664E-2</v>
      </c>
      <c r="J102" s="1">
        <v>0.12414290869722122</v>
      </c>
      <c r="K102" s="1">
        <v>3.644893540238181E-2</v>
      </c>
      <c r="L102" s="1">
        <v>0.27607361963190186</v>
      </c>
      <c r="M102" s="1">
        <v>1</v>
      </c>
      <c r="N102" s="2">
        <v>2771</v>
      </c>
      <c r="P102" s="1">
        <v>0.20699999999999999</v>
      </c>
      <c r="Q102" s="1">
        <v>0.23799999999999999</v>
      </c>
      <c r="R102" s="1">
        <v>7.0999999999999994E-2</v>
      </c>
      <c r="S102" s="1">
        <v>9.0999999999999998E-2</v>
      </c>
      <c r="T102" s="1">
        <v>2.4E-2</v>
      </c>
      <c r="U102" s="1">
        <v>3.5999999999999997E-2</v>
      </c>
      <c r="V102" s="1">
        <v>0.14299999999999999</v>
      </c>
      <c r="W102" s="1">
        <v>0.17</v>
      </c>
      <c r="X102" s="1">
        <v>6.6000000000000003E-2</v>
      </c>
      <c r="Y102" s="1">
        <v>8.5999999999999993E-2</v>
      </c>
      <c r="Z102" s="1">
        <v>0.112</v>
      </c>
      <c r="AA102" s="1">
        <v>0.13700000000000001</v>
      </c>
      <c r="AB102" s="1">
        <v>0.03</v>
      </c>
      <c r="AC102" s="1">
        <v>4.3999999999999997E-2</v>
      </c>
      <c r="AD102" s="1">
        <v>0.26</v>
      </c>
      <c r="AE102" s="1">
        <v>0.29299999999999998</v>
      </c>
    </row>
    <row r="103" spans="1:31" x14ac:dyDescent="0.25">
      <c r="A103" t="str">
        <f>B103&amp;VLOOKUP(D103, Lookups!$E$2:$F$8,2,FALSE)&amp;C103</f>
        <v>RectumGP referral60-69</v>
      </c>
      <c r="B103" t="s">
        <v>18</v>
      </c>
      <c r="C103" t="s">
        <v>9</v>
      </c>
      <c r="D103" t="s">
        <v>2</v>
      </c>
      <c r="E103" s="1">
        <v>0.31167192429022084</v>
      </c>
      <c r="F103" s="1">
        <v>6.3091482649842268E-2</v>
      </c>
      <c r="G103" s="1">
        <v>4.0378548895899057E-2</v>
      </c>
      <c r="H103" s="1">
        <v>0.12176656151419558</v>
      </c>
      <c r="I103" s="1">
        <v>6.8769716088328076E-2</v>
      </c>
      <c r="J103" s="1">
        <v>9.7791798107255523E-2</v>
      </c>
      <c r="K103" s="1">
        <v>8.7066246056782329E-2</v>
      </c>
      <c r="L103" s="1">
        <v>0.20946372239747635</v>
      </c>
      <c r="M103" s="1">
        <v>1</v>
      </c>
      <c r="N103" s="2">
        <v>1585</v>
      </c>
      <c r="P103" s="1">
        <v>0.28899999999999998</v>
      </c>
      <c r="Q103" s="1">
        <v>0.33500000000000002</v>
      </c>
      <c r="R103" s="1">
        <v>5.1999999999999998E-2</v>
      </c>
      <c r="S103" s="1">
        <v>7.5999999999999998E-2</v>
      </c>
      <c r="T103" s="1">
        <v>3.2000000000000001E-2</v>
      </c>
      <c r="U103" s="1">
        <v>5.0999999999999997E-2</v>
      </c>
      <c r="V103" s="1">
        <v>0.107</v>
      </c>
      <c r="W103" s="1">
        <v>0.13900000000000001</v>
      </c>
      <c r="X103" s="1">
        <v>5.7000000000000002E-2</v>
      </c>
      <c r="Y103" s="1">
        <v>8.2000000000000003E-2</v>
      </c>
      <c r="Z103" s="1">
        <v>8.4000000000000005E-2</v>
      </c>
      <c r="AA103" s="1">
        <v>0.113</v>
      </c>
      <c r="AB103" s="1">
        <v>7.3999999999999996E-2</v>
      </c>
      <c r="AC103" s="1">
        <v>0.10199999999999999</v>
      </c>
      <c r="AD103" s="1">
        <v>0.19</v>
      </c>
      <c r="AE103" s="1">
        <v>0.23</v>
      </c>
    </row>
    <row r="104" spans="1:31" x14ac:dyDescent="0.25">
      <c r="A104" t="str">
        <f>B104&amp;VLOOKUP(D104, Lookups!$E$2:$F$8,2,FALSE)&amp;C104</f>
        <v>RectumIP &amp; OP60-69</v>
      </c>
      <c r="B104" t="s">
        <v>18</v>
      </c>
      <c r="C104" t="s">
        <v>9</v>
      </c>
      <c r="D104" t="s">
        <v>32</v>
      </c>
      <c r="E104" s="1">
        <v>0.34142114384748701</v>
      </c>
      <c r="F104" s="1">
        <v>6.2391681109185443E-2</v>
      </c>
      <c r="G104" s="1">
        <v>4.6793760831889082E-2</v>
      </c>
      <c r="H104" s="1">
        <v>0.12998266897746968</v>
      </c>
      <c r="I104" s="1">
        <v>4.1594454072790298E-2</v>
      </c>
      <c r="J104" s="1">
        <v>7.6256499133448868E-2</v>
      </c>
      <c r="K104" s="1">
        <v>0.12305025996533796</v>
      </c>
      <c r="L104" s="1">
        <v>0.17850953206239167</v>
      </c>
      <c r="M104" s="1">
        <v>1</v>
      </c>
      <c r="N104" s="2">
        <v>577</v>
      </c>
      <c r="P104" s="1">
        <v>0.30399999999999999</v>
      </c>
      <c r="Q104" s="1">
        <v>0.38100000000000001</v>
      </c>
      <c r="R104" s="1">
        <v>4.4999999999999998E-2</v>
      </c>
      <c r="S104" s="1">
        <v>8.5000000000000006E-2</v>
      </c>
      <c r="T104" s="1">
        <v>3.2000000000000001E-2</v>
      </c>
      <c r="U104" s="1">
        <v>6.7000000000000004E-2</v>
      </c>
      <c r="V104" s="1">
        <v>0.105</v>
      </c>
      <c r="W104" s="1">
        <v>0.16</v>
      </c>
      <c r="X104" s="1">
        <v>2.8000000000000001E-2</v>
      </c>
      <c r="Y104" s="1">
        <v>6.0999999999999999E-2</v>
      </c>
      <c r="Z104" s="1">
        <v>5.7000000000000002E-2</v>
      </c>
      <c r="AA104" s="1">
        <v>0.10100000000000001</v>
      </c>
      <c r="AB104" s="1">
        <v>9.9000000000000005E-2</v>
      </c>
      <c r="AC104" s="1">
        <v>0.152</v>
      </c>
      <c r="AD104" s="1">
        <v>0.14899999999999999</v>
      </c>
      <c r="AE104" s="1">
        <v>0.21199999999999999</v>
      </c>
    </row>
    <row r="105" spans="1:31" x14ac:dyDescent="0.25">
      <c r="A105" t="str">
        <f>B105&amp;VLOOKUP(D105, Lookups!$E$2:$F$8,2,FALSE)&amp;C105</f>
        <v>RectumEmergency presentation60-69</v>
      </c>
      <c r="B105" t="s">
        <v>18</v>
      </c>
      <c r="C105" t="s">
        <v>9</v>
      </c>
      <c r="D105" t="s">
        <v>33</v>
      </c>
      <c r="E105" s="1">
        <v>0.15485074626865672</v>
      </c>
      <c r="F105" s="1">
        <v>8.2089552238805971E-2</v>
      </c>
      <c r="G105" s="1">
        <v>8.2089552238805971E-2</v>
      </c>
      <c r="H105" s="1">
        <v>0.12126865671641791</v>
      </c>
      <c r="I105" s="1">
        <v>3.9179104477611942E-2</v>
      </c>
      <c r="J105" s="1">
        <v>0.12126865671641791</v>
      </c>
      <c r="K105" s="1">
        <v>0.29104477611940299</v>
      </c>
      <c r="L105" s="1">
        <v>0.10820895522388059</v>
      </c>
      <c r="M105" s="1">
        <v>1</v>
      </c>
      <c r="N105" s="2">
        <v>536</v>
      </c>
      <c r="P105" s="1">
        <v>0.127</v>
      </c>
      <c r="Q105" s="1">
        <v>0.188</v>
      </c>
      <c r="R105" s="1">
        <v>6.2E-2</v>
      </c>
      <c r="S105" s="1">
        <v>0.108</v>
      </c>
      <c r="T105" s="1">
        <v>6.2E-2</v>
      </c>
      <c r="U105" s="1">
        <v>0.108</v>
      </c>
      <c r="V105" s="1">
        <v>9.6000000000000002E-2</v>
      </c>
      <c r="W105" s="1">
        <v>0.152</v>
      </c>
      <c r="X105" s="1">
        <v>2.5999999999999999E-2</v>
      </c>
      <c r="Y105" s="1">
        <v>5.8999999999999997E-2</v>
      </c>
      <c r="Z105" s="1">
        <v>9.6000000000000002E-2</v>
      </c>
      <c r="AA105" s="1">
        <v>0.152</v>
      </c>
      <c r="AB105" s="1">
        <v>0.254</v>
      </c>
      <c r="AC105" s="1">
        <v>0.33100000000000002</v>
      </c>
      <c r="AD105" s="1">
        <v>8.5000000000000006E-2</v>
      </c>
      <c r="AE105" s="1">
        <v>0.13700000000000001</v>
      </c>
    </row>
    <row r="106" spans="1:31" x14ac:dyDescent="0.25">
      <c r="A106" t="str">
        <f>B106&amp;VLOOKUP(D106, Lookups!$E$2:$F$8,2,FALSE)&amp;C106</f>
        <v>RectumUnknown60-69</v>
      </c>
      <c r="B106" t="s">
        <v>18</v>
      </c>
      <c r="C106" t="s">
        <v>9</v>
      </c>
      <c r="D106" t="s">
        <v>4</v>
      </c>
      <c r="E106" s="1">
        <v>0.26732673267326734</v>
      </c>
      <c r="F106" s="1">
        <v>4.4554455445544552E-2</v>
      </c>
      <c r="G106" s="1">
        <v>7.9207920792079209E-2</v>
      </c>
      <c r="H106" s="1">
        <v>4.9504950495049507E-2</v>
      </c>
      <c r="I106" s="1">
        <v>8.4158415841584164E-2</v>
      </c>
      <c r="J106" s="1">
        <v>4.4554455445544552E-2</v>
      </c>
      <c r="K106" s="1">
        <v>0.2722772277227723</v>
      </c>
      <c r="L106" s="1">
        <v>0.15841584158415842</v>
      </c>
      <c r="M106" s="1">
        <v>1</v>
      </c>
      <c r="N106" s="2">
        <v>202</v>
      </c>
      <c r="P106" s="1">
        <v>0.21099999999999999</v>
      </c>
      <c r="Q106" s="1">
        <v>0.33200000000000002</v>
      </c>
      <c r="R106" s="1">
        <v>2.4E-2</v>
      </c>
      <c r="S106" s="1">
        <v>8.2000000000000003E-2</v>
      </c>
      <c r="T106" s="1">
        <v>4.9000000000000002E-2</v>
      </c>
      <c r="U106" s="1">
        <v>0.125</v>
      </c>
      <c r="V106" s="1">
        <v>2.7E-2</v>
      </c>
      <c r="W106" s="1">
        <v>8.8999999999999996E-2</v>
      </c>
      <c r="X106" s="1">
        <v>5.2999999999999999E-2</v>
      </c>
      <c r="Y106" s="1">
        <v>0.13100000000000001</v>
      </c>
      <c r="Z106" s="1">
        <v>2.4E-2</v>
      </c>
      <c r="AA106" s="1">
        <v>8.2000000000000003E-2</v>
      </c>
      <c r="AB106" s="1">
        <v>0.216</v>
      </c>
      <c r="AC106" s="1">
        <v>0.33700000000000002</v>
      </c>
      <c r="AD106" s="1">
        <v>0.115</v>
      </c>
      <c r="AE106" s="1">
        <v>0.215</v>
      </c>
    </row>
    <row r="107" spans="1:31" x14ac:dyDescent="0.25">
      <c r="A107" t="str">
        <f>B107&amp;VLOOKUP(D107, Lookups!$E$2:$F$8,2,FALSE)&amp;C107</f>
        <v>RectumAll Routes60-69</v>
      </c>
      <c r="B107" t="s">
        <v>18</v>
      </c>
      <c r="C107" t="s">
        <v>9</v>
      </c>
      <c r="D107" t="s">
        <v>34</v>
      </c>
      <c r="E107" s="1">
        <v>0.30482196820391538</v>
      </c>
      <c r="F107" s="1">
        <v>6.0438838523190118E-2</v>
      </c>
      <c r="G107" s="1">
        <v>3.3766916305347526E-2</v>
      </c>
      <c r="H107" s="1">
        <v>0.1504401524109841</v>
      </c>
      <c r="I107" s="1">
        <v>6.7402443831296802E-2</v>
      </c>
      <c r="J107" s="1">
        <v>9.2234923137564054E-2</v>
      </c>
      <c r="K107" s="1">
        <v>7.6993824727368279E-2</v>
      </c>
      <c r="L107" s="1">
        <v>0.21390093286033374</v>
      </c>
      <c r="M107" s="1">
        <v>1</v>
      </c>
      <c r="N107" s="2">
        <v>7611</v>
      </c>
      <c r="P107" s="1">
        <v>0.29499999999999998</v>
      </c>
      <c r="Q107" s="1">
        <v>0.315</v>
      </c>
      <c r="R107" s="1">
        <v>5.5E-2</v>
      </c>
      <c r="S107" s="1">
        <v>6.6000000000000003E-2</v>
      </c>
      <c r="T107" s="1">
        <v>0.03</v>
      </c>
      <c r="U107" s="1">
        <v>3.7999999999999999E-2</v>
      </c>
      <c r="V107" s="1">
        <v>0.14299999999999999</v>
      </c>
      <c r="W107" s="1">
        <v>0.159</v>
      </c>
      <c r="X107" s="1">
        <v>6.2E-2</v>
      </c>
      <c r="Y107" s="1">
        <v>7.2999999999999995E-2</v>
      </c>
      <c r="Z107" s="1">
        <v>8.5999999999999993E-2</v>
      </c>
      <c r="AA107" s="1">
        <v>9.9000000000000005E-2</v>
      </c>
      <c r="AB107" s="1">
        <v>7.0999999999999994E-2</v>
      </c>
      <c r="AC107" s="1">
        <v>8.3000000000000004E-2</v>
      </c>
      <c r="AD107" s="1">
        <v>0.20499999999999999</v>
      </c>
      <c r="AE107" s="1">
        <v>0.223</v>
      </c>
    </row>
    <row r="108" spans="1:31" x14ac:dyDescent="0.25">
      <c r="A108" t="str">
        <f>B108&amp;VLOOKUP(D108, Lookups!$E$2:$F$8,2,FALSE)&amp;C108</f>
        <v>RectumScreen detected70-79</v>
      </c>
      <c r="B108" t="s">
        <v>18</v>
      </c>
      <c r="C108" t="s">
        <v>10</v>
      </c>
      <c r="D108" t="s">
        <v>30</v>
      </c>
      <c r="E108" s="1">
        <v>0.48031496062992124</v>
      </c>
      <c r="F108" s="1">
        <v>2.0247469066366704E-2</v>
      </c>
      <c r="G108" s="1">
        <v>1.799775028121485E-2</v>
      </c>
      <c r="H108" s="1">
        <v>0.15410573678290213</v>
      </c>
      <c r="I108" s="1">
        <v>8.6614173228346455E-2</v>
      </c>
      <c r="J108" s="1">
        <v>4.8368953880764905E-2</v>
      </c>
      <c r="K108" s="1">
        <v>3.59955005624297E-2</v>
      </c>
      <c r="L108" s="1">
        <v>0.156355455568054</v>
      </c>
      <c r="M108" s="1">
        <v>1</v>
      </c>
      <c r="N108" s="2">
        <v>889</v>
      </c>
      <c r="P108" s="1">
        <v>0.44800000000000001</v>
      </c>
      <c r="Q108" s="1">
        <v>0.51300000000000001</v>
      </c>
      <c r="R108" s="1">
        <v>1.2999999999999999E-2</v>
      </c>
      <c r="S108" s="1">
        <v>3.2000000000000001E-2</v>
      </c>
      <c r="T108" s="1">
        <v>1.0999999999999999E-2</v>
      </c>
      <c r="U108" s="1">
        <v>2.9000000000000001E-2</v>
      </c>
      <c r="V108" s="1">
        <v>0.13200000000000001</v>
      </c>
      <c r="W108" s="1">
        <v>0.17899999999999999</v>
      </c>
      <c r="X108" s="1">
        <v>7.0000000000000007E-2</v>
      </c>
      <c r="Y108" s="1">
        <v>0.107</v>
      </c>
      <c r="Z108" s="1">
        <v>3.5999999999999997E-2</v>
      </c>
      <c r="AA108" s="1">
        <v>6.5000000000000002E-2</v>
      </c>
      <c r="AB108" s="1">
        <v>2.5999999999999999E-2</v>
      </c>
      <c r="AC108" s="1">
        <v>0.05</v>
      </c>
      <c r="AD108" s="1">
        <v>0.13400000000000001</v>
      </c>
      <c r="AE108" s="1">
        <v>0.182</v>
      </c>
    </row>
    <row r="109" spans="1:31" x14ac:dyDescent="0.25">
      <c r="A109" t="str">
        <f>B109&amp;VLOOKUP(D109, Lookups!$E$2:$F$8,2,FALSE)&amp;C109</f>
        <v>RectumTwo Week Wait70-79</v>
      </c>
      <c r="B109" t="s">
        <v>18</v>
      </c>
      <c r="C109" t="s">
        <v>10</v>
      </c>
      <c r="D109" t="s">
        <v>31</v>
      </c>
      <c r="E109" s="1">
        <v>0.29871220604703247</v>
      </c>
      <c r="F109" s="1">
        <v>6.1030235162374019E-2</v>
      </c>
      <c r="G109" s="1">
        <v>6.2709966405375142E-2</v>
      </c>
      <c r="H109" s="1">
        <v>0.10834266517357223</v>
      </c>
      <c r="I109" s="1">
        <v>8.9025755879059351E-2</v>
      </c>
      <c r="J109" s="1">
        <v>0.10834266517357223</v>
      </c>
      <c r="K109" s="1">
        <v>6.8868980963045917E-2</v>
      </c>
      <c r="L109" s="1">
        <v>0.20296752519596864</v>
      </c>
      <c r="M109" s="1">
        <v>1</v>
      </c>
      <c r="N109" s="2">
        <v>3572</v>
      </c>
      <c r="P109" s="1">
        <v>0.28399999999999997</v>
      </c>
      <c r="Q109" s="1">
        <v>0.314</v>
      </c>
      <c r="R109" s="1">
        <v>5.3999999999999999E-2</v>
      </c>
      <c r="S109" s="1">
        <v>6.9000000000000006E-2</v>
      </c>
      <c r="T109" s="1">
        <v>5.5E-2</v>
      </c>
      <c r="U109" s="1">
        <v>7.0999999999999994E-2</v>
      </c>
      <c r="V109" s="1">
        <v>9.9000000000000005E-2</v>
      </c>
      <c r="W109" s="1">
        <v>0.11899999999999999</v>
      </c>
      <c r="X109" s="1">
        <v>0.08</v>
      </c>
      <c r="Y109" s="1">
        <v>9.9000000000000005E-2</v>
      </c>
      <c r="Z109" s="1">
        <v>9.9000000000000005E-2</v>
      </c>
      <c r="AA109" s="1">
        <v>0.11899999999999999</v>
      </c>
      <c r="AB109" s="1">
        <v>6.0999999999999999E-2</v>
      </c>
      <c r="AC109" s="1">
        <v>7.8E-2</v>
      </c>
      <c r="AD109" s="1">
        <v>0.19</v>
      </c>
      <c r="AE109" s="1">
        <v>0.216</v>
      </c>
    </row>
    <row r="110" spans="1:31" x14ac:dyDescent="0.25">
      <c r="A110" t="str">
        <f>B110&amp;VLOOKUP(D110, Lookups!$E$2:$F$8,2,FALSE)&amp;C110</f>
        <v>RectumGP referral70-79</v>
      </c>
      <c r="B110" t="s">
        <v>18</v>
      </c>
      <c r="C110" t="s">
        <v>10</v>
      </c>
      <c r="D110" t="s">
        <v>2</v>
      </c>
      <c r="E110" s="1">
        <v>0.35870646766169156</v>
      </c>
      <c r="F110" s="1">
        <v>5.2736318407960198E-2</v>
      </c>
      <c r="G110" s="1">
        <v>7.2636815920398015E-2</v>
      </c>
      <c r="H110" s="1">
        <v>7.8109452736318405E-2</v>
      </c>
      <c r="I110" s="1">
        <v>8.3582089552238809E-2</v>
      </c>
      <c r="J110" s="1">
        <v>9.4029850746268656E-2</v>
      </c>
      <c r="K110" s="1">
        <v>0.12437810945273632</v>
      </c>
      <c r="L110" s="1">
        <v>0.13582089552238805</v>
      </c>
      <c r="M110" s="1">
        <v>1</v>
      </c>
      <c r="N110" s="2">
        <v>2010</v>
      </c>
      <c r="P110" s="1">
        <v>0.33800000000000002</v>
      </c>
      <c r="Q110" s="1">
        <v>0.38</v>
      </c>
      <c r="R110" s="1">
        <v>4.3999999999999997E-2</v>
      </c>
      <c r="S110" s="1">
        <v>6.3E-2</v>
      </c>
      <c r="T110" s="1">
        <v>6.2E-2</v>
      </c>
      <c r="U110" s="1">
        <v>8.5000000000000006E-2</v>
      </c>
      <c r="V110" s="1">
        <v>6.7000000000000004E-2</v>
      </c>
      <c r="W110" s="1">
        <v>9.0999999999999998E-2</v>
      </c>
      <c r="X110" s="1">
        <v>7.1999999999999995E-2</v>
      </c>
      <c r="Y110" s="1">
        <v>9.6000000000000002E-2</v>
      </c>
      <c r="Z110" s="1">
        <v>8.2000000000000003E-2</v>
      </c>
      <c r="AA110" s="1">
        <v>0.108</v>
      </c>
      <c r="AB110" s="1">
        <v>0.111</v>
      </c>
      <c r="AC110" s="1">
        <v>0.14000000000000001</v>
      </c>
      <c r="AD110" s="1">
        <v>0.122</v>
      </c>
      <c r="AE110" s="1">
        <v>0.151</v>
      </c>
    </row>
    <row r="111" spans="1:31" x14ac:dyDescent="0.25">
      <c r="A111" t="str">
        <f>B111&amp;VLOOKUP(D111, Lookups!$E$2:$F$8,2,FALSE)&amp;C111</f>
        <v>RectumIP &amp; OP70-79</v>
      </c>
      <c r="B111" t="s">
        <v>18</v>
      </c>
      <c r="C111" t="s">
        <v>10</v>
      </c>
      <c r="D111" t="s">
        <v>32</v>
      </c>
      <c r="E111" s="1">
        <v>0.40083798882681565</v>
      </c>
      <c r="F111" s="1">
        <v>5.7262569832402237E-2</v>
      </c>
      <c r="G111" s="1">
        <v>6.1452513966480445E-2</v>
      </c>
      <c r="H111" s="1">
        <v>8.7988826815642462E-2</v>
      </c>
      <c r="I111" s="1">
        <v>7.2625698324022353E-2</v>
      </c>
      <c r="J111" s="1">
        <v>7.6815642458100561E-2</v>
      </c>
      <c r="K111" s="1">
        <v>0.13547486033519554</v>
      </c>
      <c r="L111" s="1">
        <v>0.10754189944134078</v>
      </c>
      <c r="M111" s="1">
        <v>1</v>
      </c>
      <c r="N111" s="2">
        <v>716</v>
      </c>
      <c r="P111" s="1">
        <v>0.36599999999999999</v>
      </c>
      <c r="Q111" s="1">
        <v>0.437</v>
      </c>
      <c r="R111" s="1">
        <v>4.2000000000000003E-2</v>
      </c>
      <c r="S111" s="1">
        <v>7.6999999999999999E-2</v>
      </c>
      <c r="T111" s="1">
        <v>4.5999999999999999E-2</v>
      </c>
      <c r="U111" s="1">
        <v>8.1000000000000003E-2</v>
      </c>
      <c r="V111" s="1">
        <v>6.9000000000000006E-2</v>
      </c>
      <c r="W111" s="1">
        <v>0.111</v>
      </c>
      <c r="X111" s="1">
        <v>5.6000000000000001E-2</v>
      </c>
      <c r="Y111" s="1">
        <v>9.4E-2</v>
      </c>
      <c r="Z111" s="1">
        <v>5.8999999999999997E-2</v>
      </c>
      <c r="AA111" s="1">
        <v>9.9000000000000005E-2</v>
      </c>
      <c r="AB111" s="1">
        <v>0.112</v>
      </c>
      <c r="AC111" s="1">
        <v>0.16200000000000001</v>
      </c>
      <c r="AD111" s="1">
        <v>8.6999999999999994E-2</v>
      </c>
      <c r="AE111" s="1">
        <v>0.13200000000000001</v>
      </c>
    </row>
    <row r="112" spans="1:31" x14ac:dyDescent="0.25">
      <c r="A112" t="str">
        <f>B112&amp;VLOOKUP(D112, Lookups!$E$2:$F$8,2,FALSE)&amp;C112</f>
        <v>RectumEmergency presentation70-79</v>
      </c>
      <c r="B112" t="s">
        <v>18</v>
      </c>
      <c r="C112" t="s">
        <v>10</v>
      </c>
      <c r="D112" t="s">
        <v>33</v>
      </c>
      <c r="E112" s="1">
        <v>0.18170426065162906</v>
      </c>
      <c r="F112" s="1">
        <v>6.1403508771929821E-2</v>
      </c>
      <c r="G112" s="1">
        <v>9.3984962406015032E-2</v>
      </c>
      <c r="H112" s="1">
        <v>6.5162907268170422E-2</v>
      </c>
      <c r="I112" s="1">
        <v>5.889724310776942E-2</v>
      </c>
      <c r="J112" s="1">
        <v>6.5162907268170422E-2</v>
      </c>
      <c r="K112" s="1">
        <v>0.41604010025062654</v>
      </c>
      <c r="L112" s="1">
        <v>5.764411027568922E-2</v>
      </c>
      <c r="M112" s="1">
        <v>1</v>
      </c>
      <c r="N112" s="2">
        <v>798</v>
      </c>
      <c r="P112" s="1">
        <v>0.156</v>
      </c>
      <c r="Q112" s="1">
        <v>0.21</v>
      </c>
      <c r="R112" s="1">
        <v>4.7E-2</v>
      </c>
      <c r="S112" s="1">
        <v>0.08</v>
      </c>
      <c r="T112" s="1">
        <v>7.5999999999999998E-2</v>
      </c>
      <c r="U112" s="1">
        <v>0.11600000000000001</v>
      </c>
      <c r="V112" s="1">
        <v>0.05</v>
      </c>
      <c r="W112" s="1">
        <v>8.4000000000000005E-2</v>
      </c>
      <c r="X112" s="1">
        <v>4.4999999999999998E-2</v>
      </c>
      <c r="Y112" s="1">
        <v>7.6999999999999999E-2</v>
      </c>
      <c r="Z112" s="1">
        <v>0.05</v>
      </c>
      <c r="AA112" s="1">
        <v>8.4000000000000005E-2</v>
      </c>
      <c r="AB112" s="1">
        <v>0.38200000000000001</v>
      </c>
      <c r="AC112" s="1">
        <v>0.45100000000000001</v>
      </c>
      <c r="AD112" s="1">
        <v>4.2999999999999997E-2</v>
      </c>
      <c r="AE112" s="1">
        <v>7.5999999999999998E-2</v>
      </c>
    </row>
    <row r="113" spans="1:31" x14ac:dyDescent="0.25">
      <c r="A113" t="str">
        <f>B113&amp;VLOOKUP(D113, Lookups!$E$2:$F$8,2,FALSE)&amp;C113</f>
        <v>RectumUnknown70-79</v>
      </c>
      <c r="B113" t="s">
        <v>18</v>
      </c>
      <c r="C113" t="s">
        <v>10</v>
      </c>
      <c r="D113" t="s">
        <v>4</v>
      </c>
      <c r="E113" s="1">
        <v>0.30379746835443039</v>
      </c>
      <c r="F113" s="1">
        <v>5.0632911392405063E-2</v>
      </c>
      <c r="G113" s="1">
        <v>6.3291139240506333E-2</v>
      </c>
      <c r="H113" s="1">
        <v>5.6962025316455694E-2</v>
      </c>
      <c r="I113" s="1">
        <v>4.4303797468354431E-2</v>
      </c>
      <c r="J113" s="1">
        <v>8.8607594936708861E-2</v>
      </c>
      <c r="K113" s="1">
        <v>0.32278481012658228</v>
      </c>
      <c r="L113" s="1">
        <v>6.9620253164556958E-2</v>
      </c>
      <c r="M113" s="1">
        <v>1</v>
      </c>
      <c r="N113" s="2">
        <v>158</v>
      </c>
      <c r="P113" s="1">
        <v>0.23699999999999999</v>
      </c>
      <c r="Q113" s="1">
        <v>0.379</v>
      </c>
      <c r="R113" s="1">
        <v>2.5999999999999999E-2</v>
      </c>
      <c r="S113" s="1">
        <v>9.7000000000000003E-2</v>
      </c>
      <c r="T113" s="1">
        <v>3.5000000000000003E-2</v>
      </c>
      <c r="U113" s="1">
        <v>0.113</v>
      </c>
      <c r="V113" s="1">
        <v>0.03</v>
      </c>
      <c r="W113" s="1">
        <v>0.105</v>
      </c>
      <c r="X113" s="1">
        <v>2.1999999999999999E-2</v>
      </c>
      <c r="Y113" s="1">
        <v>8.8999999999999996E-2</v>
      </c>
      <c r="Z113" s="1">
        <v>5.3999999999999999E-2</v>
      </c>
      <c r="AA113" s="1">
        <v>0.14299999999999999</v>
      </c>
      <c r="AB113" s="1">
        <v>0.255</v>
      </c>
      <c r="AC113" s="1">
        <v>0.39900000000000002</v>
      </c>
      <c r="AD113" s="1">
        <v>3.9E-2</v>
      </c>
      <c r="AE113" s="1">
        <v>0.12</v>
      </c>
    </row>
    <row r="114" spans="1:31" x14ac:dyDescent="0.25">
      <c r="A114" t="str">
        <f>B114&amp;VLOOKUP(D114, Lookups!$E$2:$F$8,2,FALSE)&amp;C114</f>
        <v>RectumAll Routes70-79</v>
      </c>
      <c r="B114" t="s">
        <v>18</v>
      </c>
      <c r="C114" t="s">
        <v>10</v>
      </c>
      <c r="D114" t="s">
        <v>34</v>
      </c>
      <c r="E114" s="1">
        <v>0.33095910598059686</v>
      </c>
      <c r="F114" s="1">
        <v>5.4034139751934177E-2</v>
      </c>
      <c r="G114" s="1">
        <v>6.3244504482377506E-2</v>
      </c>
      <c r="H114" s="1">
        <v>9.8857914773425024E-2</v>
      </c>
      <c r="I114" s="1">
        <v>8.2156453395554468E-2</v>
      </c>
      <c r="J114" s="1">
        <v>9.0875598673707481E-2</v>
      </c>
      <c r="K114" s="1">
        <v>0.1237873019771583</v>
      </c>
      <c r="L114" s="1">
        <v>0.15608498096524623</v>
      </c>
      <c r="M114" s="1">
        <v>1</v>
      </c>
      <c r="N114" s="2">
        <v>8143</v>
      </c>
      <c r="P114" s="1">
        <v>0.32100000000000001</v>
      </c>
      <c r="Q114" s="1">
        <v>0.34100000000000003</v>
      </c>
      <c r="R114" s="1">
        <v>4.9000000000000002E-2</v>
      </c>
      <c r="S114" s="1">
        <v>5.8999999999999997E-2</v>
      </c>
      <c r="T114" s="1">
        <v>5.8000000000000003E-2</v>
      </c>
      <c r="U114" s="1">
        <v>6.9000000000000006E-2</v>
      </c>
      <c r="V114" s="1">
        <v>9.2999999999999999E-2</v>
      </c>
      <c r="W114" s="1">
        <v>0.106</v>
      </c>
      <c r="X114" s="1">
        <v>7.5999999999999998E-2</v>
      </c>
      <c r="Y114" s="1">
        <v>8.7999999999999995E-2</v>
      </c>
      <c r="Z114" s="1">
        <v>8.5000000000000006E-2</v>
      </c>
      <c r="AA114" s="1">
        <v>9.7000000000000003E-2</v>
      </c>
      <c r="AB114" s="1">
        <v>0.11700000000000001</v>
      </c>
      <c r="AC114" s="1">
        <v>0.13100000000000001</v>
      </c>
      <c r="AD114" s="1">
        <v>0.14799999999999999</v>
      </c>
      <c r="AE114" s="1">
        <v>0.16400000000000001</v>
      </c>
    </row>
    <row r="115" spans="1:31" x14ac:dyDescent="0.25">
      <c r="A115" t="str">
        <f>B115&amp;VLOOKUP(D115, Lookups!$E$2:$F$8,2,FALSE)&amp;C115</f>
        <v>RectumScreen detected80-84</v>
      </c>
      <c r="B115" t="s">
        <v>18</v>
      </c>
      <c r="C115" t="s">
        <v>11</v>
      </c>
      <c r="D115" t="s">
        <v>30</v>
      </c>
      <c r="E115" s="1">
        <v>0.54166666666666663</v>
      </c>
      <c r="F115" s="1">
        <v>4.1666666666666664E-2</v>
      </c>
      <c r="G115" s="1">
        <v>8.3333333333333329E-2</v>
      </c>
      <c r="H115" s="1">
        <v>8.3333333333333329E-2</v>
      </c>
      <c r="I115" s="1">
        <v>8.3333333333333329E-2</v>
      </c>
      <c r="J115" s="1">
        <v>8.3333333333333329E-2</v>
      </c>
      <c r="K115" s="1">
        <v>8.3333333333333329E-2</v>
      </c>
      <c r="L115" s="1">
        <v>0</v>
      </c>
      <c r="M115" s="1">
        <v>1</v>
      </c>
      <c r="N115" s="2">
        <v>24</v>
      </c>
      <c r="P115" s="1">
        <v>0.35099999999999998</v>
      </c>
      <c r="Q115" s="1">
        <v>0.72099999999999997</v>
      </c>
      <c r="R115" s="1">
        <v>7.0000000000000001E-3</v>
      </c>
      <c r="S115" s="1">
        <v>0.20200000000000001</v>
      </c>
      <c r="T115" s="1">
        <v>2.3E-2</v>
      </c>
      <c r="U115" s="1">
        <v>0.25800000000000001</v>
      </c>
      <c r="V115" s="1">
        <v>2.3E-2</v>
      </c>
      <c r="W115" s="1">
        <v>0.25800000000000001</v>
      </c>
      <c r="X115" s="1">
        <v>2.3E-2</v>
      </c>
      <c r="Y115" s="1">
        <v>0.25800000000000001</v>
      </c>
      <c r="Z115" s="1">
        <v>2.3E-2</v>
      </c>
      <c r="AA115" s="1">
        <v>0.25800000000000001</v>
      </c>
      <c r="AB115" s="1">
        <v>2.3E-2</v>
      </c>
      <c r="AC115" s="1">
        <v>0.25800000000000001</v>
      </c>
      <c r="AD115" s="1">
        <v>0</v>
      </c>
      <c r="AE115" s="1">
        <v>0.13800000000000001</v>
      </c>
    </row>
    <row r="116" spans="1:31" x14ac:dyDescent="0.25">
      <c r="A116" t="str">
        <f>B116&amp;VLOOKUP(D116, Lookups!$E$2:$F$8,2,FALSE)&amp;C116</f>
        <v>RectumTwo Week Wait80-84</v>
      </c>
      <c r="B116" t="s">
        <v>18</v>
      </c>
      <c r="C116" t="s">
        <v>11</v>
      </c>
      <c r="D116" t="s">
        <v>31</v>
      </c>
      <c r="E116" s="1">
        <v>0.34976682211858762</v>
      </c>
      <c r="F116" s="1">
        <v>3.7974683544303799E-2</v>
      </c>
      <c r="G116" s="1">
        <v>0.15656229180546302</v>
      </c>
      <c r="H116" s="1">
        <v>3.6642238507661559E-2</v>
      </c>
      <c r="I116" s="1">
        <v>0.11658894070619587</v>
      </c>
      <c r="J116" s="1">
        <v>7.9280479680213192E-2</v>
      </c>
      <c r="K116" s="1">
        <v>0.13657561625582945</v>
      </c>
      <c r="L116" s="1">
        <v>8.6608927381745499E-2</v>
      </c>
      <c r="M116" s="1">
        <v>1</v>
      </c>
      <c r="N116" s="2">
        <v>1501</v>
      </c>
      <c r="P116" s="1">
        <v>0.32600000000000001</v>
      </c>
      <c r="Q116" s="1">
        <v>0.374</v>
      </c>
      <c r="R116" s="1">
        <v>2.9000000000000001E-2</v>
      </c>
      <c r="S116" s="1">
        <v>4.9000000000000002E-2</v>
      </c>
      <c r="T116" s="1">
        <v>0.13900000000000001</v>
      </c>
      <c r="U116" s="1">
        <v>0.17599999999999999</v>
      </c>
      <c r="V116" s="1">
        <v>2.8000000000000001E-2</v>
      </c>
      <c r="W116" s="1">
        <v>4.7E-2</v>
      </c>
      <c r="X116" s="1">
        <v>0.10100000000000001</v>
      </c>
      <c r="Y116" s="1">
        <v>0.13400000000000001</v>
      </c>
      <c r="Z116" s="1">
        <v>6.7000000000000004E-2</v>
      </c>
      <c r="AA116" s="1">
        <v>9.4E-2</v>
      </c>
      <c r="AB116" s="1">
        <v>0.12</v>
      </c>
      <c r="AC116" s="1">
        <v>0.155</v>
      </c>
      <c r="AD116" s="1">
        <v>7.2999999999999995E-2</v>
      </c>
      <c r="AE116" s="1">
        <v>0.10199999999999999</v>
      </c>
    </row>
    <row r="117" spans="1:31" x14ac:dyDescent="0.25">
      <c r="A117" t="str">
        <f>B117&amp;VLOOKUP(D117, Lookups!$E$2:$F$8,2,FALSE)&amp;C117</f>
        <v>RectumGP referral80-84</v>
      </c>
      <c r="B117" t="s">
        <v>18</v>
      </c>
      <c r="C117" t="s">
        <v>11</v>
      </c>
      <c r="D117" t="s">
        <v>2</v>
      </c>
      <c r="E117" s="1">
        <v>0.34063526834611174</v>
      </c>
      <c r="F117" s="1">
        <v>2.5191675794085433E-2</v>
      </c>
      <c r="G117" s="1">
        <v>0.14676889375684557</v>
      </c>
      <c r="H117" s="1">
        <v>3.5049288061336253E-2</v>
      </c>
      <c r="I117" s="1">
        <v>0.10843373493975904</v>
      </c>
      <c r="J117" s="1">
        <v>4.271631982475356E-2</v>
      </c>
      <c r="K117" s="1">
        <v>0.2475355969331873</v>
      </c>
      <c r="L117" s="1">
        <v>5.3669222343921137E-2</v>
      </c>
      <c r="M117" s="1">
        <v>1</v>
      </c>
      <c r="N117" s="2">
        <v>913</v>
      </c>
      <c r="P117" s="1">
        <v>0.311</v>
      </c>
      <c r="Q117" s="1">
        <v>0.372</v>
      </c>
      <c r="R117" s="1">
        <v>1.7000000000000001E-2</v>
      </c>
      <c r="S117" s="1">
        <v>3.7999999999999999E-2</v>
      </c>
      <c r="T117" s="1">
        <v>0.125</v>
      </c>
      <c r="U117" s="1">
        <v>0.17100000000000001</v>
      </c>
      <c r="V117" s="1">
        <v>2.5000000000000001E-2</v>
      </c>
      <c r="W117" s="1">
        <v>4.9000000000000002E-2</v>
      </c>
      <c r="X117" s="1">
        <v>0.09</v>
      </c>
      <c r="Y117" s="1">
        <v>0.13</v>
      </c>
      <c r="Z117" s="1">
        <v>3.1E-2</v>
      </c>
      <c r="AA117" s="1">
        <v>5.8000000000000003E-2</v>
      </c>
      <c r="AB117" s="1">
        <v>0.221</v>
      </c>
      <c r="AC117" s="1">
        <v>0.27700000000000002</v>
      </c>
      <c r="AD117" s="1">
        <v>4.1000000000000002E-2</v>
      </c>
      <c r="AE117" s="1">
        <v>7.0000000000000007E-2</v>
      </c>
    </row>
    <row r="118" spans="1:31" x14ac:dyDescent="0.25">
      <c r="A118" t="str">
        <f>B118&amp;VLOOKUP(D118, Lookups!$E$2:$F$8,2,FALSE)&amp;C118</f>
        <v>RectumIP &amp; OP80-84</v>
      </c>
      <c r="B118" t="s">
        <v>18</v>
      </c>
      <c r="C118" t="s">
        <v>11</v>
      </c>
      <c r="D118" t="s">
        <v>32</v>
      </c>
      <c r="E118" s="1">
        <v>0.33818181818181819</v>
      </c>
      <c r="F118" s="1">
        <v>3.272727272727273E-2</v>
      </c>
      <c r="G118" s="1">
        <v>0.17818181818181819</v>
      </c>
      <c r="H118" s="1">
        <v>0.04</v>
      </c>
      <c r="I118" s="1">
        <v>9.4545454545454544E-2</v>
      </c>
      <c r="J118" s="1">
        <v>3.272727272727273E-2</v>
      </c>
      <c r="K118" s="1">
        <v>0.24727272727272728</v>
      </c>
      <c r="L118" s="1">
        <v>3.6363636363636362E-2</v>
      </c>
      <c r="M118" s="1">
        <v>1</v>
      </c>
      <c r="N118" s="2">
        <v>275</v>
      </c>
      <c r="P118" s="1">
        <v>0.28499999999999998</v>
      </c>
      <c r="Q118" s="1">
        <v>0.39600000000000002</v>
      </c>
      <c r="R118" s="1">
        <v>1.7000000000000001E-2</v>
      </c>
      <c r="S118" s="1">
        <v>6.0999999999999999E-2</v>
      </c>
      <c r="T118" s="1">
        <v>0.13700000000000001</v>
      </c>
      <c r="U118" s="1">
        <v>0.22800000000000001</v>
      </c>
      <c r="V118" s="1">
        <v>2.1999999999999999E-2</v>
      </c>
      <c r="W118" s="1">
        <v>7.0000000000000007E-2</v>
      </c>
      <c r="X118" s="1">
        <v>6.5000000000000002E-2</v>
      </c>
      <c r="Y118" s="1">
        <v>0.13500000000000001</v>
      </c>
      <c r="Z118" s="1">
        <v>1.7000000000000001E-2</v>
      </c>
      <c r="AA118" s="1">
        <v>6.0999999999999999E-2</v>
      </c>
      <c r="AB118" s="1">
        <v>0.2</v>
      </c>
      <c r="AC118" s="1">
        <v>0.30199999999999999</v>
      </c>
      <c r="AD118" s="1">
        <v>0.02</v>
      </c>
      <c r="AE118" s="1">
        <v>6.6000000000000003E-2</v>
      </c>
    </row>
    <row r="119" spans="1:31" x14ac:dyDescent="0.25">
      <c r="A119" t="str">
        <f>B119&amp;VLOOKUP(D119, Lookups!$E$2:$F$8,2,FALSE)&amp;C119</f>
        <v>RectumEmergency presentation80-84</v>
      </c>
      <c r="B119" t="s">
        <v>18</v>
      </c>
      <c r="C119" t="s">
        <v>11</v>
      </c>
      <c r="D119" t="s">
        <v>33</v>
      </c>
      <c r="E119" s="1">
        <v>0.18091451292246521</v>
      </c>
      <c r="F119" s="1">
        <v>1.1928429423459244E-2</v>
      </c>
      <c r="G119" s="1">
        <v>0.15705765407554673</v>
      </c>
      <c r="H119" s="1">
        <v>1.1928429423459244E-2</v>
      </c>
      <c r="I119" s="1">
        <v>4.9701789264413522E-2</v>
      </c>
      <c r="J119" s="1">
        <v>2.3856858846918488E-2</v>
      </c>
      <c r="K119" s="1">
        <v>0.54274353876739567</v>
      </c>
      <c r="L119" s="1">
        <v>2.186878727634195E-2</v>
      </c>
      <c r="M119" s="1">
        <v>1</v>
      </c>
      <c r="N119" s="2">
        <v>503</v>
      </c>
      <c r="P119" s="1">
        <v>0.15</v>
      </c>
      <c r="Q119" s="1">
        <v>0.217</v>
      </c>
      <c r="R119" s="1">
        <v>5.0000000000000001E-3</v>
      </c>
      <c r="S119" s="1">
        <v>2.5999999999999999E-2</v>
      </c>
      <c r="T119" s="1">
        <v>0.128</v>
      </c>
      <c r="U119" s="1">
        <v>0.191</v>
      </c>
      <c r="V119" s="1">
        <v>5.0000000000000001E-3</v>
      </c>
      <c r="W119" s="1">
        <v>2.5999999999999999E-2</v>
      </c>
      <c r="X119" s="1">
        <v>3.4000000000000002E-2</v>
      </c>
      <c r="Y119" s="1">
        <v>7.1999999999999995E-2</v>
      </c>
      <c r="Z119" s="1">
        <v>1.4E-2</v>
      </c>
      <c r="AA119" s="1">
        <v>4.1000000000000002E-2</v>
      </c>
      <c r="AB119" s="1">
        <v>0.499</v>
      </c>
      <c r="AC119" s="1">
        <v>0.58599999999999997</v>
      </c>
      <c r="AD119" s="1">
        <v>1.2E-2</v>
      </c>
      <c r="AE119" s="1">
        <v>3.9E-2</v>
      </c>
    </row>
    <row r="120" spans="1:31" x14ac:dyDescent="0.25">
      <c r="A120" t="str">
        <f>B120&amp;VLOOKUP(D120, Lookups!$E$2:$F$8,2,FALSE)&amp;C120</f>
        <v>RectumUnknown80-84</v>
      </c>
      <c r="B120" t="s">
        <v>18</v>
      </c>
      <c r="C120" t="s">
        <v>11</v>
      </c>
      <c r="D120" t="s">
        <v>4</v>
      </c>
      <c r="E120" s="1">
        <v>0.25396825396825395</v>
      </c>
      <c r="F120" s="1">
        <v>0</v>
      </c>
      <c r="G120" s="1">
        <v>0.12698412698412698</v>
      </c>
      <c r="H120" s="1">
        <v>1.5873015873015872E-2</v>
      </c>
      <c r="I120" s="1">
        <v>4.7619047619047616E-2</v>
      </c>
      <c r="J120" s="1">
        <v>3.1746031746031744E-2</v>
      </c>
      <c r="K120" s="1">
        <v>0.50793650793650791</v>
      </c>
      <c r="L120" s="1">
        <v>1.5873015873015872E-2</v>
      </c>
      <c r="M120" s="1">
        <v>1</v>
      </c>
      <c r="N120" s="2">
        <v>63</v>
      </c>
      <c r="P120" s="1">
        <v>0.16300000000000001</v>
      </c>
      <c r="Q120" s="1">
        <v>0.373</v>
      </c>
      <c r="R120" s="1">
        <v>0</v>
      </c>
      <c r="S120" s="1">
        <v>5.7000000000000002E-2</v>
      </c>
      <c r="T120" s="1">
        <v>6.6000000000000003E-2</v>
      </c>
      <c r="U120" s="1">
        <v>0.23100000000000001</v>
      </c>
      <c r="V120" s="1">
        <v>3.0000000000000001E-3</v>
      </c>
      <c r="W120" s="1">
        <v>8.5000000000000006E-2</v>
      </c>
      <c r="X120" s="1">
        <v>1.6E-2</v>
      </c>
      <c r="Y120" s="1">
        <v>0.13100000000000001</v>
      </c>
      <c r="Z120" s="1">
        <v>8.9999999999999993E-3</v>
      </c>
      <c r="AA120" s="1">
        <v>0.109</v>
      </c>
      <c r="AB120" s="1">
        <v>0.38800000000000001</v>
      </c>
      <c r="AC120" s="1">
        <v>0.627</v>
      </c>
      <c r="AD120" s="1">
        <v>3.0000000000000001E-3</v>
      </c>
      <c r="AE120" s="1">
        <v>8.5000000000000006E-2</v>
      </c>
    </row>
    <row r="121" spans="1:31" x14ac:dyDescent="0.25">
      <c r="A121" t="str">
        <f>B121&amp;VLOOKUP(D121, Lookups!$E$2:$F$8,2,FALSE)&amp;C121</f>
        <v>RectumAll Routes80-84</v>
      </c>
      <c r="B121" t="s">
        <v>18</v>
      </c>
      <c r="C121" t="s">
        <v>11</v>
      </c>
      <c r="D121" t="s">
        <v>34</v>
      </c>
      <c r="E121" s="1">
        <v>0.31991460811222933</v>
      </c>
      <c r="F121" s="1">
        <v>2.92772186642269E-2</v>
      </c>
      <c r="G121" s="1">
        <v>0.1546203110704483</v>
      </c>
      <c r="H121" s="1">
        <v>3.2631899969502901E-2</v>
      </c>
      <c r="I121" s="1">
        <v>0.10064043915827996</v>
      </c>
      <c r="J121" s="1">
        <v>5.5809698078682524E-2</v>
      </c>
      <c r="K121" s="1">
        <v>0.24580664836840499</v>
      </c>
      <c r="L121" s="1">
        <v>6.1299176578225069E-2</v>
      </c>
      <c r="M121" s="1">
        <v>0.99999999999999989</v>
      </c>
      <c r="N121" s="2">
        <v>3279</v>
      </c>
      <c r="P121" s="1">
        <v>0.30399999999999999</v>
      </c>
      <c r="Q121" s="1">
        <v>0.33600000000000002</v>
      </c>
      <c r="R121" s="1">
        <v>2.4E-2</v>
      </c>
      <c r="S121" s="1">
        <v>3.5999999999999997E-2</v>
      </c>
      <c r="T121" s="1">
        <v>0.14299999999999999</v>
      </c>
      <c r="U121" s="1">
        <v>0.16700000000000001</v>
      </c>
      <c r="V121" s="1">
        <v>2.7E-2</v>
      </c>
      <c r="W121" s="1">
        <v>3.9E-2</v>
      </c>
      <c r="X121" s="1">
        <v>9.0999999999999998E-2</v>
      </c>
      <c r="Y121" s="1">
        <v>0.111</v>
      </c>
      <c r="Z121" s="1">
        <v>4.8000000000000001E-2</v>
      </c>
      <c r="AA121" s="1">
        <v>6.4000000000000001E-2</v>
      </c>
      <c r="AB121" s="1">
        <v>0.23100000000000001</v>
      </c>
      <c r="AC121" s="1">
        <v>0.26100000000000001</v>
      </c>
      <c r="AD121" s="1">
        <v>5.3999999999999999E-2</v>
      </c>
      <c r="AE121" s="1">
        <v>7.0000000000000007E-2</v>
      </c>
    </row>
    <row r="122" spans="1:31" x14ac:dyDescent="0.25">
      <c r="A122" t="str">
        <f>B122&amp;VLOOKUP(D122, Lookups!$E$2:$F$8,2,FALSE)&amp;C122</f>
        <v>RectumScreen detected85+</v>
      </c>
      <c r="B122" t="s">
        <v>18</v>
      </c>
      <c r="C122" t="s">
        <v>12</v>
      </c>
      <c r="D122" t="s">
        <v>30</v>
      </c>
      <c r="E122" s="1">
        <v>0.2857142857142857</v>
      </c>
      <c r="F122" s="1">
        <v>0</v>
      </c>
      <c r="G122" s="1">
        <v>0.2857142857142857</v>
      </c>
      <c r="H122" s="1">
        <v>0</v>
      </c>
      <c r="I122" s="1">
        <v>0.14285714285714285</v>
      </c>
      <c r="J122" s="1">
        <v>0</v>
      </c>
      <c r="K122" s="1">
        <v>0.2857142857142857</v>
      </c>
      <c r="L122" s="1">
        <v>0</v>
      </c>
      <c r="M122" s="1">
        <v>0.99999999999999989</v>
      </c>
      <c r="N122" s="2">
        <v>7</v>
      </c>
      <c r="P122" s="1">
        <v>8.2000000000000003E-2</v>
      </c>
      <c r="Q122" s="1">
        <v>0.64100000000000001</v>
      </c>
      <c r="R122" s="1">
        <v>0</v>
      </c>
      <c r="S122" s="1">
        <v>0.35399999999999998</v>
      </c>
      <c r="T122" s="1">
        <v>8.2000000000000003E-2</v>
      </c>
      <c r="U122" s="1">
        <v>0.64100000000000001</v>
      </c>
      <c r="V122" s="1">
        <v>0</v>
      </c>
      <c r="W122" s="1">
        <v>0.35399999999999998</v>
      </c>
      <c r="X122" s="1">
        <v>2.5999999999999999E-2</v>
      </c>
      <c r="Y122" s="1">
        <v>0.51300000000000001</v>
      </c>
      <c r="Z122" s="1">
        <v>0</v>
      </c>
      <c r="AA122" s="1">
        <v>0.35399999999999998</v>
      </c>
      <c r="AB122" s="1">
        <v>8.2000000000000003E-2</v>
      </c>
      <c r="AC122" s="1">
        <v>0.64100000000000001</v>
      </c>
      <c r="AD122" s="1">
        <v>0</v>
      </c>
      <c r="AE122" s="1">
        <v>0.35399999999999998</v>
      </c>
    </row>
    <row r="123" spans="1:31" x14ac:dyDescent="0.25">
      <c r="A123" t="str">
        <f>B123&amp;VLOOKUP(D123, Lookups!$E$2:$F$8,2,FALSE)&amp;C123</f>
        <v>RectumTwo Week Wait85+</v>
      </c>
      <c r="B123" t="s">
        <v>18</v>
      </c>
      <c r="C123" t="s">
        <v>12</v>
      </c>
      <c r="D123" t="s">
        <v>31</v>
      </c>
      <c r="E123" s="1">
        <v>0.23534635879218471</v>
      </c>
      <c r="F123" s="1">
        <v>1.8650088809946713E-2</v>
      </c>
      <c r="G123" s="1">
        <v>0.28152753108348133</v>
      </c>
      <c r="H123" s="1">
        <v>7.104795737122558E-3</v>
      </c>
      <c r="I123" s="1">
        <v>7.9928952042628773E-2</v>
      </c>
      <c r="J123" s="1">
        <v>3.2859680284191832E-2</v>
      </c>
      <c r="K123" s="1">
        <v>0.32859680284191828</v>
      </c>
      <c r="L123" s="1">
        <v>1.5985790408525755E-2</v>
      </c>
      <c r="M123" s="1">
        <v>0.99999999999999989</v>
      </c>
      <c r="N123" s="2">
        <v>1126</v>
      </c>
      <c r="P123" s="1">
        <v>0.21099999999999999</v>
      </c>
      <c r="Q123" s="1">
        <v>0.26100000000000001</v>
      </c>
      <c r="R123" s="1">
        <v>1.2E-2</v>
      </c>
      <c r="S123" s="1">
        <v>2.8000000000000001E-2</v>
      </c>
      <c r="T123" s="1">
        <v>0.25600000000000001</v>
      </c>
      <c r="U123" s="1">
        <v>0.309</v>
      </c>
      <c r="V123" s="1">
        <v>4.0000000000000001E-3</v>
      </c>
      <c r="W123" s="1">
        <v>1.4E-2</v>
      </c>
      <c r="X123" s="1">
        <v>6.5000000000000002E-2</v>
      </c>
      <c r="Y123" s="1">
        <v>9.7000000000000003E-2</v>
      </c>
      <c r="Z123" s="1">
        <v>2.4E-2</v>
      </c>
      <c r="AA123" s="1">
        <v>4.4999999999999998E-2</v>
      </c>
      <c r="AB123" s="1">
        <v>0.30199999999999999</v>
      </c>
      <c r="AC123" s="1">
        <v>0.35699999999999998</v>
      </c>
      <c r="AD123" s="1">
        <v>0.01</v>
      </c>
      <c r="AE123" s="1">
        <v>2.5000000000000001E-2</v>
      </c>
    </row>
    <row r="124" spans="1:31" x14ac:dyDescent="0.25">
      <c r="A124" t="str">
        <f>B124&amp;VLOOKUP(D124, Lookups!$E$2:$F$8,2,FALSE)&amp;C124</f>
        <v>RectumGP referral85+</v>
      </c>
      <c r="B124" t="s">
        <v>18</v>
      </c>
      <c r="C124" t="s">
        <v>12</v>
      </c>
      <c r="D124" t="s">
        <v>2</v>
      </c>
      <c r="E124" s="1">
        <v>0.2442159383033419</v>
      </c>
      <c r="F124" s="1">
        <v>3.8560411311053984E-3</v>
      </c>
      <c r="G124" s="1">
        <v>0.22493573264781491</v>
      </c>
      <c r="H124" s="1">
        <v>1.2853470437017994E-3</v>
      </c>
      <c r="I124" s="1">
        <v>7.8406169665809766E-2</v>
      </c>
      <c r="J124" s="1">
        <v>2.056555269922879E-2</v>
      </c>
      <c r="K124" s="1">
        <v>0.41773778920308485</v>
      </c>
      <c r="L124" s="1">
        <v>8.9974293059125968E-3</v>
      </c>
      <c r="M124" s="1">
        <v>1</v>
      </c>
      <c r="N124" s="2">
        <v>778</v>
      </c>
      <c r="P124" s="1">
        <v>0.215</v>
      </c>
      <c r="Q124" s="1">
        <v>0.27600000000000002</v>
      </c>
      <c r="R124" s="1">
        <v>1E-3</v>
      </c>
      <c r="S124" s="1">
        <v>1.0999999999999999E-2</v>
      </c>
      <c r="T124" s="1">
        <v>0.19700000000000001</v>
      </c>
      <c r="U124" s="1">
        <v>0.25600000000000001</v>
      </c>
      <c r="V124" s="1">
        <v>0</v>
      </c>
      <c r="W124" s="1">
        <v>7.0000000000000001E-3</v>
      </c>
      <c r="X124" s="1">
        <v>6.2E-2</v>
      </c>
      <c r="Y124" s="1">
        <v>9.9000000000000005E-2</v>
      </c>
      <c r="Z124" s="1">
        <v>1.2999999999999999E-2</v>
      </c>
      <c r="AA124" s="1">
        <v>3.3000000000000002E-2</v>
      </c>
      <c r="AB124" s="1">
        <v>0.38400000000000001</v>
      </c>
      <c r="AC124" s="1">
        <v>0.45300000000000001</v>
      </c>
      <c r="AD124" s="1">
        <v>4.0000000000000001E-3</v>
      </c>
      <c r="AE124" s="1">
        <v>1.7999999999999999E-2</v>
      </c>
    </row>
    <row r="125" spans="1:31" x14ac:dyDescent="0.25">
      <c r="A125" t="str">
        <f>B125&amp;VLOOKUP(D125, Lookups!$E$2:$F$8,2,FALSE)&amp;C125</f>
        <v>RectumIP &amp; OP85+</v>
      </c>
      <c r="B125" t="s">
        <v>18</v>
      </c>
      <c r="C125" t="s">
        <v>12</v>
      </c>
      <c r="D125" t="s">
        <v>32</v>
      </c>
      <c r="E125" s="1">
        <v>0.30534351145038169</v>
      </c>
      <c r="F125" s="1">
        <v>2.2900763358778626E-2</v>
      </c>
      <c r="G125" s="1">
        <v>0.16793893129770993</v>
      </c>
      <c r="H125" s="1">
        <v>7.6335877862595417E-3</v>
      </c>
      <c r="I125" s="1">
        <v>3.8167938931297711E-2</v>
      </c>
      <c r="J125" s="1">
        <v>1.1450381679389313E-2</v>
      </c>
      <c r="K125" s="1">
        <v>0.4351145038167939</v>
      </c>
      <c r="L125" s="1">
        <v>1.1450381679389313E-2</v>
      </c>
      <c r="M125" s="1">
        <v>0.99999999999999989</v>
      </c>
      <c r="N125" s="2">
        <v>262</v>
      </c>
      <c r="P125" s="1">
        <v>0.253</v>
      </c>
      <c r="Q125" s="1">
        <v>0.36399999999999999</v>
      </c>
      <c r="R125" s="1">
        <v>1.0999999999999999E-2</v>
      </c>
      <c r="S125" s="1">
        <v>4.9000000000000002E-2</v>
      </c>
      <c r="T125" s="1">
        <v>0.128</v>
      </c>
      <c r="U125" s="1">
        <v>0.218</v>
      </c>
      <c r="V125" s="1">
        <v>2E-3</v>
      </c>
      <c r="W125" s="1">
        <v>2.7E-2</v>
      </c>
      <c r="X125" s="1">
        <v>2.1000000000000001E-2</v>
      </c>
      <c r="Y125" s="1">
        <v>6.9000000000000006E-2</v>
      </c>
      <c r="Z125" s="1">
        <v>4.0000000000000001E-3</v>
      </c>
      <c r="AA125" s="1">
        <v>3.3000000000000002E-2</v>
      </c>
      <c r="AB125" s="1">
        <v>0.376</v>
      </c>
      <c r="AC125" s="1">
        <v>0.496</v>
      </c>
      <c r="AD125" s="1">
        <v>4.0000000000000001E-3</v>
      </c>
      <c r="AE125" s="1">
        <v>3.3000000000000002E-2</v>
      </c>
    </row>
    <row r="126" spans="1:31" x14ac:dyDescent="0.25">
      <c r="A126" t="str">
        <f>B126&amp;VLOOKUP(D126, Lookups!$E$2:$F$8,2,FALSE)&amp;C126</f>
        <v>RectumEmergency presentation85+</v>
      </c>
      <c r="B126" t="s">
        <v>18</v>
      </c>
      <c r="C126" t="s">
        <v>12</v>
      </c>
      <c r="D126" t="s">
        <v>33</v>
      </c>
      <c r="E126" s="1">
        <v>9.5351609058402856E-2</v>
      </c>
      <c r="F126" s="1">
        <v>2.3837902264600714E-3</v>
      </c>
      <c r="G126" s="1">
        <v>0.11084624553039332</v>
      </c>
      <c r="H126" s="1">
        <v>0</v>
      </c>
      <c r="I126" s="1">
        <v>1.1918951132300357E-2</v>
      </c>
      <c r="J126" s="1">
        <v>9.5351609058402856E-3</v>
      </c>
      <c r="K126" s="1">
        <v>0.76638855780691295</v>
      </c>
      <c r="L126" s="1">
        <v>3.5756853396901071E-3</v>
      </c>
      <c r="M126" s="1">
        <v>0.99999999999999989</v>
      </c>
      <c r="N126" s="2">
        <v>839</v>
      </c>
      <c r="P126" s="1">
        <v>7.6999999999999999E-2</v>
      </c>
      <c r="Q126" s="1">
        <v>0.11700000000000001</v>
      </c>
      <c r="R126" s="1">
        <v>1E-3</v>
      </c>
      <c r="S126" s="1">
        <v>8.9999999999999993E-3</v>
      </c>
      <c r="T126" s="1">
        <v>9.0999999999999998E-2</v>
      </c>
      <c r="U126" s="1">
        <v>0.13400000000000001</v>
      </c>
      <c r="V126" s="1">
        <v>0</v>
      </c>
      <c r="W126" s="1">
        <v>5.0000000000000001E-3</v>
      </c>
      <c r="X126" s="1">
        <v>6.0000000000000001E-3</v>
      </c>
      <c r="Y126" s="1">
        <v>2.1999999999999999E-2</v>
      </c>
      <c r="Z126" s="1">
        <v>5.0000000000000001E-3</v>
      </c>
      <c r="AA126" s="1">
        <v>1.9E-2</v>
      </c>
      <c r="AB126" s="1">
        <v>0.73699999999999999</v>
      </c>
      <c r="AC126" s="1">
        <v>0.79400000000000004</v>
      </c>
      <c r="AD126" s="1">
        <v>1E-3</v>
      </c>
      <c r="AE126" s="1">
        <v>0.01</v>
      </c>
    </row>
    <row r="127" spans="1:31" x14ac:dyDescent="0.25">
      <c r="A127" t="str">
        <f>B127&amp;VLOOKUP(D127, Lookups!$E$2:$F$8,2,FALSE)&amp;C127</f>
        <v>RectumUnknown85+</v>
      </c>
      <c r="B127" t="s">
        <v>18</v>
      </c>
      <c r="C127" t="s">
        <v>12</v>
      </c>
      <c r="D127" t="s">
        <v>4</v>
      </c>
      <c r="E127" s="1">
        <v>6.5573770491803282E-2</v>
      </c>
      <c r="F127" s="1">
        <v>1.6393442622950821E-2</v>
      </c>
      <c r="G127" s="1">
        <v>0.11475409836065574</v>
      </c>
      <c r="H127" s="1">
        <v>0</v>
      </c>
      <c r="I127" s="1">
        <v>1.6393442622950821E-2</v>
      </c>
      <c r="J127" s="1">
        <v>0</v>
      </c>
      <c r="K127" s="1">
        <v>0.75409836065573765</v>
      </c>
      <c r="L127" s="1">
        <v>3.2786885245901641E-2</v>
      </c>
      <c r="M127" s="1">
        <v>1</v>
      </c>
      <c r="N127" s="2">
        <v>61</v>
      </c>
      <c r="P127" s="1">
        <v>2.5999999999999999E-2</v>
      </c>
      <c r="Q127" s="1">
        <v>0.157</v>
      </c>
      <c r="R127" s="1">
        <v>3.0000000000000001E-3</v>
      </c>
      <c r="S127" s="1">
        <v>8.6999999999999994E-2</v>
      </c>
      <c r="T127" s="1">
        <v>5.7000000000000002E-2</v>
      </c>
      <c r="U127" s="1">
        <v>0.218</v>
      </c>
      <c r="V127" s="1">
        <v>0</v>
      </c>
      <c r="W127" s="1">
        <v>5.8999999999999997E-2</v>
      </c>
      <c r="X127" s="1">
        <v>3.0000000000000001E-3</v>
      </c>
      <c r="Y127" s="1">
        <v>8.6999999999999994E-2</v>
      </c>
      <c r="Z127" s="1">
        <v>0</v>
      </c>
      <c r="AA127" s="1">
        <v>5.8999999999999997E-2</v>
      </c>
      <c r="AB127" s="1">
        <v>0.63300000000000001</v>
      </c>
      <c r="AC127" s="1">
        <v>0.84499999999999997</v>
      </c>
      <c r="AD127" s="1">
        <v>8.9999999999999993E-3</v>
      </c>
      <c r="AE127" s="1">
        <v>0.112</v>
      </c>
    </row>
    <row r="128" spans="1:31" x14ac:dyDescent="0.25">
      <c r="A128" t="str">
        <f>B128&amp;VLOOKUP(D128, Lookups!$E$2:$F$8,2,FALSE)&amp;C128</f>
        <v>RectumAll Routes85+</v>
      </c>
      <c r="B128" t="s">
        <v>18</v>
      </c>
      <c r="C128" t="s">
        <v>12</v>
      </c>
      <c r="D128" t="s">
        <v>34</v>
      </c>
      <c r="E128" s="1">
        <v>0.20208265538561665</v>
      </c>
      <c r="F128" s="1">
        <v>1.0738691832085909E-2</v>
      </c>
      <c r="G128" s="1">
        <v>0.20761470875366092</v>
      </c>
      <c r="H128" s="1">
        <v>3.5795639440286365E-3</v>
      </c>
      <c r="I128" s="1">
        <v>5.6296778392450376E-2</v>
      </c>
      <c r="J128" s="1">
        <v>2.0826553856166611E-2</v>
      </c>
      <c r="K128" s="1">
        <v>0.48812235600390497</v>
      </c>
      <c r="L128" s="1">
        <v>1.0738691832085909E-2</v>
      </c>
      <c r="M128" s="1">
        <v>1</v>
      </c>
      <c r="N128" s="2">
        <v>3073</v>
      </c>
      <c r="P128" s="1">
        <v>0.188</v>
      </c>
      <c r="Q128" s="1">
        <v>0.217</v>
      </c>
      <c r="R128" s="1">
        <v>8.0000000000000002E-3</v>
      </c>
      <c r="S128" s="1">
        <v>1.4999999999999999E-2</v>
      </c>
      <c r="T128" s="1">
        <v>0.19400000000000001</v>
      </c>
      <c r="U128" s="1">
        <v>0.222</v>
      </c>
      <c r="V128" s="1">
        <v>2E-3</v>
      </c>
      <c r="W128" s="1">
        <v>6.0000000000000001E-3</v>
      </c>
      <c r="X128" s="1">
        <v>4.9000000000000002E-2</v>
      </c>
      <c r="Y128" s="1">
        <v>6.5000000000000002E-2</v>
      </c>
      <c r="Z128" s="1">
        <v>1.6E-2</v>
      </c>
      <c r="AA128" s="1">
        <v>2.7E-2</v>
      </c>
      <c r="AB128" s="1">
        <v>0.47</v>
      </c>
      <c r="AC128" s="1">
        <v>0.50600000000000001</v>
      </c>
      <c r="AD128" s="1">
        <v>8.0000000000000002E-3</v>
      </c>
      <c r="AE128" s="1">
        <v>1.4999999999999999E-2</v>
      </c>
    </row>
    <row r="129" spans="1:31" x14ac:dyDescent="0.25">
      <c r="A129" t="str">
        <f>B129&amp;VLOOKUP(D129, Lookups!$E$2:$F$8,2,FALSE)&amp;C129</f>
        <v>NSCLCScreen detectedUnder 50</v>
      </c>
      <c r="B129" t="s">
        <v>19</v>
      </c>
      <c r="C129" t="s">
        <v>7</v>
      </c>
      <c r="D129" t="s">
        <v>30</v>
      </c>
      <c r="E129" s="1" t="s">
        <v>137</v>
      </c>
      <c r="F129" s="1" t="s">
        <v>137</v>
      </c>
      <c r="G129" s="1" t="s">
        <v>137</v>
      </c>
      <c r="H129" s="1" t="s">
        <v>137</v>
      </c>
      <c r="I129" s="1" t="s">
        <v>137</v>
      </c>
      <c r="J129" s="1" t="s">
        <v>137</v>
      </c>
      <c r="K129" s="1" t="s">
        <v>137</v>
      </c>
      <c r="L129" s="1" t="s">
        <v>137</v>
      </c>
      <c r="M129" s="1">
        <v>0</v>
      </c>
      <c r="N129" s="2">
        <v>0</v>
      </c>
      <c r="P129" s="1"/>
      <c r="Q129" s="1"/>
      <c r="R129" s="1"/>
      <c r="S129" s="1"/>
      <c r="T129" s="1"/>
      <c r="U129" s="1"/>
      <c r="V129" s="1"/>
      <c r="W129" s="1"/>
      <c r="X129" s="1"/>
      <c r="Y129" s="1"/>
      <c r="Z129" s="1"/>
      <c r="AA129" s="1"/>
      <c r="AB129" s="1"/>
      <c r="AC129" s="1"/>
      <c r="AD129" s="1"/>
      <c r="AE129" s="1"/>
    </row>
    <row r="130" spans="1:31" x14ac:dyDescent="0.25">
      <c r="A130" t="str">
        <f>B130&amp;VLOOKUP(D130, Lookups!$E$2:$F$8,2,FALSE)&amp;C130</f>
        <v>NSCLCTwo Week WaitUnder 50</v>
      </c>
      <c r="B130" t="s">
        <v>19</v>
      </c>
      <c r="C130" t="s">
        <v>7</v>
      </c>
      <c r="D130" t="s">
        <v>31</v>
      </c>
      <c r="E130" s="1">
        <v>0.14932126696832579</v>
      </c>
      <c r="F130" s="1">
        <v>0.24886877828054299</v>
      </c>
      <c r="G130" s="1">
        <v>6.485671191553545E-2</v>
      </c>
      <c r="H130" s="1">
        <v>0.11463046757164404</v>
      </c>
      <c r="I130" s="1">
        <v>7.5414781297134239E-3</v>
      </c>
      <c r="J130" s="1">
        <v>0.33333333333333331</v>
      </c>
      <c r="K130" s="1">
        <v>6.485671191553545E-2</v>
      </c>
      <c r="L130" s="1">
        <v>1.6591251885369532E-2</v>
      </c>
      <c r="M130" s="1">
        <v>1</v>
      </c>
      <c r="N130" s="2">
        <v>663</v>
      </c>
      <c r="P130" s="1">
        <v>0.124</v>
      </c>
      <c r="Q130" s="1">
        <v>0.17799999999999999</v>
      </c>
      <c r="R130" s="1">
        <v>0.217</v>
      </c>
      <c r="S130" s="1">
        <v>0.28299999999999997</v>
      </c>
      <c r="T130" s="1">
        <v>4.9000000000000002E-2</v>
      </c>
      <c r="U130" s="1">
        <v>8.5999999999999993E-2</v>
      </c>
      <c r="V130" s="1">
        <v>9.2999999999999999E-2</v>
      </c>
      <c r="W130" s="1">
        <v>0.14099999999999999</v>
      </c>
      <c r="X130" s="1">
        <v>3.0000000000000001E-3</v>
      </c>
      <c r="Y130" s="1">
        <v>1.7999999999999999E-2</v>
      </c>
      <c r="Z130" s="1">
        <v>0.29899999999999999</v>
      </c>
      <c r="AA130" s="1">
        <v>0.37</v>
      </c>
      <c r="AB130" s="1">
        <v>4.9000000000000002E-2</v>
      </c>
      <c r="AC130" s="1">
        <v>8.5999999999999993E-2</v>
      </c>
      <c r="AD130" s="1">
        <v>8.9999999999999993E-3</v>
      </c>
      <c r="AE130" s="1">
        <v>2.9000000000000001E-2</v>
      </c>
    </row>
    <row r="131" spans="1:31" x14ac:dyDescent="0.25">
      <c r="A131" t="str">
        <f>B131&amp;VLOOKUP(D131, Lookups!$E$2:$F$8,2,FALSE)&amp;C131</f>
        <v>NSCLCGP referralUnder 50</v>
      </c>
      <c r="B131" t="s">
        <v>19</v>
      </c>
      <c r="C131" t="s">
        <v>7</v>
      </c>
      <c r="D131" t="s">
        <v>2</v>
      </c>
      <c r="E131" s="1">
        <v>0.26465661641541038</v>
      </c>
      <c r="F131" s="1">
        <v>0.21273031825795644</v>
      </c>
      <c r="G131" s="1">
        <v>7.8726968174204354E-2</v>
      </c>
      <c r="H131" s="1">
        <v>7.2026800670016752E-2</v>
      </c>
      <c r="I131" s="1">
        <v>1.8425460636515914E-2</v>
      </c>
      <c r="J131" s="1">
        <v>0.17420435510887772</v>
      </c>
      <c r="K131" s="1">
        <v>0.1624790619765494</v>
      </c>
      <c r="L131" s="1">
        <v>1.675041876046901E-2</v>
      </c>
      <c r="M131" s="1">
        <v>0.99999999999999989</v>
      </c>
      <c r="N131" s="2">
        <v>597</v>
      </c>
      <c r="P131" s="1">
        <v>0.23100000000000001</v>
      </c>
      <c r="Q131" s="1">
        <v>0.30099999999999999</v>
      </c>
      <c r="R131" s="1">
        <v>0.182</v>
      </c>
      <c r="S131" s="1">
        <v>0.247</v>
      </c>
      <c r="T131" s="1">
        <v>0.06</v>
      </c>
      <c r="U131" s="1">
        <v>0.10299999999999999</v>
      </c>
      <c r="V131" s="1">
        <v>5.3999999999999999E-2</v>
      </c>
      <c r="W131" s="1">
        <v>9.6000000000000002E-2</v>
      </c>
      <c r="X131" s="1">
        <v>0.01</v>
      </c>
      <c r="Y131" s="1">
        <v>3.3000000000000002E-2</v>
      </c>
      <c r="Z131" s="1">
        <v>0.14599999999999999</v>
      </c>
      <c r="AA131" s="1">
        <v>0.20699999999999999</v>
      </c>
      <c r="AB131" s="1">
        <v>0.13500000000000001</v>
      </c>
      <c r="AC131" s="1">
        <v>0.19400000000000001</v>
      </c>
      <c r="AD131" s="1">
        <v>8.9999999999999993E-3</v>
      </c>
      <c r="AE131" s="1">
        <v>3.1E-2</v>
      </c>
    </row>
    <row r="132" spans="1:31" x14ac:dyDescent="0.25">
      <c r="A132" t="str">
        <f>B132&amp;VLOOKUP(D132, Lookups!$E$2:$F$8,2,FALSE)&amp;C132</f>
        <v>NSCLCIP &amp; OPUnder 50</v>
      </c>
      <c r="B132" t="s">
        <v>19</v>
      </c>
      <c r="C132" t="s">
        <v>7</v>
      </c>
      <c r="D132" t="s">
        <v>32</v>
      </c>
      <c r="E132" s="1">
        <v>0.28603603603603606</v>
      </c>
      <c r="F132" s="1">
        <v>0.18018018018018017</v>
      </c>
      <c r="G132" s="1">
        <v>9.6846846846846843E-2</v>
      </c>
      <c r="H132" s="1">
        <v>6.3063063063063057E-2</v>
      </c>
      <c r="I132" s="1">
        <v>1.5765765765765764E-2</v>
      </c>
      <c r="J132" s="1">
        <v>0.2072072072072072</v>
      </c>
      <c r="K132" s="1">
        <v>0.1373873873873874</v>
      </c>
      <c r="L132" s="1">
        <v>1.3513513513513514E-2</v>
      </c>
      <c r="M132" s="1">
        <v>1</v>
      </c>
      <c r="N132" s="2">
        <v>444</v>
      </c>
      <c r="P132" s="1">
        <v>0.246</v>
      </c>
      <c r="Q132" s="1">
        <v>0.33</v>
      </c>
      <c r="R132" s="1">
        <v>0.14699999999999999</v>
      </c>
      <c r="S132" s="1">
        <v>0.219</v>
      </c>
      <c r="T132" s="1">
        <v>7.2999999999999995E-2</v>
      </c>
      <c r="U132" s="1">
        <v>0.128</v>
      </c>
      <c r="V132" s="1">
        <v>4.3999999999999997E-2</v>
      </c>
      <c r="W132" s="1">
        <v>0.09</v>
      </c>
      <c r="X132" s="1">
        <v>8.0000000000000002E-3</v>
      </c>
      <c r="Y132" s="1">
        <v>3.2000000000000001E-2</v>
      </c>
      <c r="Z132" s="1">
        <v>0.17199999999999999</v>
      </c>
      <c r="AA132" s="1">
        <v>0.247</v>
      </c>
      <c r="AB132" s="1">
        <v>0.108</v>
      </c>
      <c r="AC132" s="1">
        <v>0.17299999999999999</v>
      </c>
      <c r="AD132" s="1">
        <v>6.0000000000000001E-3</v>
      </c>
      <c r="AE132" s="1">
        <v>2.9000000000000001E-2</v>
      </c>
    </row>
    <row r="133" spans="1:31" x14ac:dyDescent="0.25">
      <c r="A133" t="str">
        <f>B133&amp;VLOOKUP(D133, Lookups!$E$2:$F$8,2,FALSE)&amp;C133</f>
        <v>NSCLCEmergency presentationUnder 50</v>
      </c>
      <c r="B133" t="s">
        <v>19</v>
      </c>
      <c r="C133" t="s">
        <v>7</v>
      </c>
      <c r="D133" t="s">
        <v>33</v>
      </c>
      <c r="E133" s="1">
        <v>7.1808510638297879E-2</v>
      </c>
      <c r="F133" s="1">
        <v>0.23537234042553193</v>
      </c>
      <c r="G133" s="1">
        <v>0.15026595744680851</v>
      </c>
      <c r="H133" s="1">
        <v>1.7287234042553192E-2</v>
      </c>
      <c r="I133" s="1">
        <v>2.6595744680851063E-3</v>
      </c>
      <c r="J133" s="1">
        <v>0.20744680851063829</v>
      </c>
      <c r="K133" s="1">
        <v>0.30585106382978722</v>
      </c>
      <c r="L133" s="1">
        <v>9.3085106382978719E-3</v>
      </c>
      <c r="M133" s="1">
        <v>1</v>
      </c>
      <c r="N133" s="2">
        <v>752</v>
      </c>
      <c r="P133" s="1">
        <v>5.5E-2</v>
      </c>
      <c r="Q133" s="1">
        <v>9.2999999999999999E-2</v>
      </c>
      <c r="R133" s="1">
        <v>0.20599999999999999</v>
      </c>
      <c r="S133" s="1">
        <v>0.26700000000000002</v>
      </c>
      <c r="T133" s="1">
        <v>0.127</v>
      </c>
      <c r="U133" s="1">
        <v>0.17799999999999999</v>
      </c>
      <c r="V133" s="1">
        <v>0.01</v>
      </c>
      <c r="W133" s="1">
        <v>2.9000000000000001E-2</v>
      </c>
      <c r="X133" s="1">
        <v>1E-3</v>
      </c>
      <c r="Y133" s="1">
        <v>0.01</v>
      </c>
      <c r="Z133" s="1">
        <v>0.18</v>
      </c>
      <c r="AA133" s="1">
        <v>0.23799999999999999</v>
      </c>
      <c r="AB133" s="1">
        <v>0.27400000000000002</v>
      </c>
      <c r="AC133" s="1">
        <v>0.34</v>
      </c>
      <c r="AD133" s="1">
        <v>5.0000000000000001E-3</v>
      </c>
      <c r="AE133" s="1">
        <v>1.9E-2</v>
      </c>
    </row>
    <row r="134" spans="1:31" x14ac:dyDescent="0.25">
      <c r="A134" t="str">
        <f>B134&amp;VLOOKUP(D134, Lookups!$E$2:$F$8,2,FALSE)&amp;C134</f>
        <v>NSCLCUnknownUnder 50</v>
      </c>
      <c r="B134" t="s">
        <v>19</v>
      </c>
      <c r="C134" t="s">
        <v>7</v>
      </c>
      <c r="D134" t="s">
        <v>4</v>
      </c>
      <c r="E134" s="1">
        <v>9.0909090909090912E-2</v>
      </c>
      <c r="F134" s="1">
        <v>0.16883116883116883</v>
      </c>
      <c r="G134" s="1">
        <v>6.4935064935064929E-2</v>
      </c>
      <c r="H134" s="1">
        <v>2.5974025974025976E-2</v>
      </c>
      <c r="I134" s="1">
        <v>0</v>
      </c>
      <c r="J134" s="1">
        <v>0.15584415584415584</v>
      </c>
      <c r="K134" s="1">
        <v>0.4935064935064935</v>
      </c>
      <c r="L134" s="1">
        <v>0</v>
      </c>
      <c r="M134" s="1">
        <v>1</v>
      </c>
      <c r="N134" s="2">
        <v>77</v>
      </c>
      <c r="P134" s="1">
        <v>4.4999999999999998E-2</v>
      </c>
      <c r="Q134" s="1">
        <v>0.17599999999999999</v>
      </c>
      <c r="R134" s="1">
        <v>0.10100000000000001</v>
      </c>
      <c r="S134" s="1">
        <v>0.26800000000000002</v>
      </c>
      <c r="T134" s="1">
        <v>2.8000000000000001E-2</v>
      </c>
      <c r="U134" s="1">
        <v>0.14299999999999999</v>
      </c>
      <c r="V134" s="1">
        <v>7.0000000000000001E-3</v>
      </c>
      <c r="W134" s="1">
        <v>0.09</v>
      </c>
      <c r="X134" s="1">
        <v>0</v>
      </c>
      <c r="Y134" s="1">
        <v>4.8000000000000001E-2</v>
      </c>
      <c r="Z134" s="1">
        <v>9.0999999999999998E-2</v>
      </c>
      <c r="AA134" s="1">
        <v>0.253</v>
      </c>
      <c r="AB134" s="1">
        <v>0.38500000000000001</v>
      </c>
      <c r="AC134" s="1">
        <v>0.60299999999999998</v>
      </c>
      <c r="AD134" s="1">
        <v>0</v>
      </c>
      <c r="AE134" s="1">
        <v>4.8000000000000001E-2</v>
      </c>
    </row>
    <row r="135" spans="1:31" x14ac:dyDescent="0.25">
      <c r="A135" t="str">
        <f>B135&amp;VLOOKUP(D135, Lookups!$E$2:$F$8,2,FALSE)&amp;C135</f>
        <v>NSCLCAll RoutesUnder 50</v>
      </c>
      <c r="B135" t="s">
        <v>19</v>
      </c>
      <c r="C135" t="s">
        <v>7</v>
      </c>
      <c r="D135" t="s">
        <v>34</v>
      </c>
      <c r="E135" s="1">
        <v>0.17568101065929728</v>
      </c>
      <c r="F135" s="1">
        <v>0.2218712988551125</v>
      </c>
      <c r="G135" s="1">
        <v>9.9091985787603629E-2</v>
      </c>
      <c r="H135" s="1">
        <v>6.3955783655744183E-2</v>
      </c>
      <c r="I135" s="1">
        <v>9.8697196999605209E-3</v>
      </c>
      <c r="J135" s="1">
        <v>0.23095144097907619</v>
      </c>
      <c r="K135" s="1">
        <v>0.18515594157125936</v>
      </c>
      <c r="L135" s="1">
        <v>1.3422818791946308E-2</v>
      </c>
      <c r="M135" s="1">
        <v>1</v>
      </c>
      <c r="N135" s="2">
        <v>2533</v>
      </c>
      <c r="P135" s="1">
        <v>0.161</v>
      </c>
      <c r="Q135" s="1">
        <v>0.191</v>
      </c>
      <c r="R135" s="1">
        <v>0.20599999999999999</v>
      </c>
      <c r="S135" s="1">
        <v>0.23799999999999999</v>
      </c>
      <c r="T135" s="1">
        <v>8.7999999999999995E-2</v>
      </c>
      <c r="U135" s="1">
        <v>0.111</v>
      </c>
      <c r="V135" s="1">
        <v>5.5E-2</v>
      </c>
      <c r="W135" s="1">
        <v>7.3999999999999996E-2</v>
      </c>
      <c r="X135" s="1">
        <v>7.0000000000000001E-3</v>
      </c>
      <c r="Y135" s="1">
        <v>1.4999999999999999E-2</v>
      </c>
      <c r="Z135" s="1">
        <v>0.215</v>
      </c>
      <c r="AA135" s="1">
        <v>0.248</v>
      </c>
      <c r="AB135" s="1">
        <v>0.17100000000000001</v>
      </c>
      <c r="AC135" s="1">
        <v>0.20100000000000001</v>
      </c>
      <c r="AD135" s="1">
        <v>0.01</v>
      </c>
      <c r="AE135" s="1">
        <v>1.9E-2</v>
      </c>
    </row>
    <row r="136" spans="1:31" x14ac:dyDescent="0.25">
      <c r="A136" t="str">
        <f>B136&amp;VLOOKUP(D136, Lookups!$E$2:$F$8,2,FALSE)&amp;C136</f>
        <v>NSCLCScreen detected50-59</v>
      </c>
      <c r="B136" t="s">
        <v>19</v>
      </c>
      <c r="C136" t="s">
        <v>8</v>
      </c>
      <c r="D136" t="s">
        <v>30</v>
      </c>
      <c r="E136" s="1" t="s">
        <v>137</v>
      </c>
      <c r="F136" s="1" t="s">
        <v>137</v>
      </c>
      <c r="G136" s="1" t="s">
        <v>137</v>
      </c>
      <c r="H136" s="1" t="s">
        <v>137</v>
      </c>
      <c r="I136" s="1" t="s">
        <v>137</v>
      </c>
      <c r="J136" s="1" t="s">
        <v>137</v>
      </c>
      <c r="K136" s="1" t="s">
        <v>137</v>
      </c>
      <c r="L136" s="1" t="s">
        <v>137</v>
      </c>
      <c r="M136" s="1">
        <v>0</v>
      </c>
      <c r="N136" s="2">
        <v>0</v>
      </c>
      <c r="P136" s="1"/>
      <c r="Q136" s="1"/>
      <c r="R136" s="1"/>
      <c r="S136" s="1"/>
      <c r="T136" s="1"/>
      <c r="U136" s="1"/>
      <c r="V136" s="1"/>
      <c r="W136" s="1"/>
      <c r="X136" s="1"/>
      <c r="Y136" s="1"/>
      <c r="Z136" s="1"/>
      <c r="AA136" s="1"/>
      <c r="AB136" s="1"/>
      <c r="AC136" s="1"/>
      <c r="AD136" s="1"/>
      <c r="AE136" s="1"/>
    </row>
    <row r="137" spans="1:31" x14ac:dyDescent="0.25">
      <c r="A137" t="str">
        <f>B137&amp;VLOOKUP(D137, Lookups!$E$2:$F$8,2,FALSE)&amp;C137</f>
        <v>NSCLCTwo Week Wait50-59</v>
      </c>
      <c r="B137" t="s">
        <v>19</v>
      </c>
      <c r="C137" t="s">
        <v>8</v>
      </c>
      <c r="D137" t="s">
        <v>31</v>
      </c>
      <c r="E137" s="1">
        <v>0.14259051885031729</v>
      </c>
      <c r="F137" s="1">
        <v>0.26017170586039567</v>
      </c>
      <c r="G137" s="1">
        <v>9.7424412094064952E-2</v>
      </c>
      <c r="H137" s="1">
        <v>0.10265024262784621</v>
      </c>
      <c r="I137" s="1">
        <v>1.269130272489735E-2</v>
      </c>
      <c r="J137" s="1">
        <v>0.28480776409107877</v>
      </c>
      <c r="K137" s="1">
        <v>8.6599477416946624E-2</v>
      </c>
      <c r="L137" s="1">
        <v>1.3064576334453154E-2</v>
      </c>
      <c r="M137" s="1">
        <v>1</v>
      </c>
      <c r="N137" s="2">
        <v>2679</v>
      </c>
      <c r="P137" s="1">
        <v>0.13</v>
      </c>
      <c r="Q137" s="1">
        <v>0.156</v>
      </c>
      <c r="R137" s="1">
        <v>0.24399999999999999</v>
      </c>
      <c r="S137" s="1">
        <v>0.27700000000000002</v>
      </c>
      <c r="T137" s="1">
        <v>8.6999999999999994E-2</v>
      </c>
      <c r="U137" s="1">
        <v>0.109</v>
      </c>
      <c r="V137" s="1">
        <v>9.1999999999999998E-2</v>
      </c>
      <c r="W137" s="1">
        <v>0.115</v>
      </c>
      <c r="X137" s="1">
        <v>8.9999999999999993E-3</v>
      </c>
      <c r="Y137" s="1">
        <v>1.7999999999999999E-2</v>
      </c>
      <c r="Z137" s="1">
        <v>0.26800000000000002</v>
      </c>
      <c r="AA137" s="1">
        <v>0.30199999999999999</v>
      </c>
      <c r="AB137" s="1">
        <v>7.6999999999999999E-2</v>
      </c>
      <c r="AC137" s="1">
        <v>9.8000000000000004E-2</v>
      </c>
      <c r="AD137" s="1">
        <v>8.9999999999999993E-3</v>
      </c>
      <c r="AE137" s="1">
        <v>1.7999999999999999E-2</v>
      </c>
    </row>
    <row r="138" spans="1:31" x14ac:dyDescent="0.25">
      <c r="A138" t="str">
        <f>B138&amp;VLOOKUP(D138, Lookups!$E$2:$F$8,2,FALSE)&amp;C138</f>
        <v>NSCLCGP referral50-59</v>
      </c>
      <c r="B138" t="s">
        <v>19</v>
      </c>
      <c r="C138" t="s">
        <v>8</v>
      </c>
      <c r="D138" t="s">
        <v>2</v>
      </c>
      <c r="E138" s="1">
        <v>0.19950495049504952</v>
      </c>
      <c r="F138" s="1">
        <v>0.18267326732673267</v>
      </c>
      <c r="G138" s="1">
        <v>0.13217821782178218</v>
      </c>
      <c r="H138" s="1">
        <v>7.8712871287128713E-2</v>
      </c>
      <c r="I138" s="1">
        <v>4.4554455445544551E-3</v>
      </c>
      <c r="J138" s="1">
        <v>0.18217821782178217</v>
      </c>
      <c r="K138" s="1">
        <v>0.2094059405940594</v>
      </c>
      <c r="L138" s="1">
        <v>1.089108910891089E-2</v>
      </c>
      <c r="M138" s="1">
        <v>1</v>
      </c>
      <c r="N138" s="2">
        <v>2020</v>
      </c>
      <c r="P138" s="1">
        <v>0.183</v>
      </c>
      <c r="Q138" s="1">
        <v>0.217</v>
      </c>
      <c r="R138" s="1">
        <v>0.16600000000000001</v>
      </c>
      <c r="S138" s="1">
        <v>0.2</v>
      </c>
      <c r="T138" s="1">
        <v>0.11799999999999999</v>
      </c>
      <c r="U138" s="1">
        <v>0.14799999999999999</v>
      </c>
      <c r="V138" s="1">
        <v>6.8000000000000005E-2</v>
      </c>
      <c r="W138" s="1">
        <v>9.0999999999999998E-2</v>
      </c>
      <c r="X138" s="1">
        <v>2E-3</v>
      </c>
      <c r="Y138" s="1">
        <v>8.0000000000000002E-3</v>
      </c>
      <c r="Z138" s="1">
        <v>0.16600000000000001</v>
      </c>
      <c r="AA138" s="1">
        <v>0.2</v>
      </c>
      <c r="AB138" s="1">
        <v>0.192</v>
      </c>
      <c r="AC138" s="1">
        <v>0.22800000000000001</v>
      </c>
      <c r="AD138" s="1">
        <v>7.0000000000000001E-3</v>
      </c>
      <c r="AE138" s="1">
        <v>1.6E-2</v>
      </c>
    </row>
    <row r="139" spans="1:31" x14ac:dyDescent="0.25">
      <c r="A139" t="str">
        <f>B139&amp;VLOOKUP(D139, Lookups!$E$2:$F$8,2,FALSE)&amp;C139</f>
        <v>NSCLCIP &amp; OP50-59</v>
      </c>
      <c r="B139" t="s">
        <v>19</v>
      </c>
      <c r="C139" t="s">
        <v>8</v>
      </c>
      <c r="D139" t="s">
        <v>32</v>
      </c>
      <c r="E139" s="1">
        <v>0.23725356900067981</v>
      </c>
      <c r="F139" s="1">
        <v>0.18014955812372535</v>
      </c>
      <c r="G139" s="1">
        <v>0.13664174031271245</v>
      </c>
      <c r="H139" s="1">
        <v>8.0217539089055059E-2</v>
      </c>
      <c r="I139" s="1">
        <v>6.1182868796736912E-3</v>
      </c>
      <c r="J139" s="1">
        <v>0.19578518014955812</v>
      </c>
      <c r="K139" s="1">
        <v>0.15363698164513936</v>
      </c>
      <c r="L139" s="1">
        <v>1.0197144799456152E-2</v>
      </c>
      <c r="M139" s="1">
        <v>1</v>
      </c>
      <c r="N139" s="2">
        <v>1471</v>
      </c>
      <c r="P139" s="1">
        <v>0.216</v>
      </c>
      <c r="Q139" s="1">
        <v>0.26</v>
      </c>
      <c r="R139" s="1">
        <v>0.161</v>
      </c>
      <c r="S139" s="1">
        <v>0.20100000000000001</v>
      </c>
      <c r="T139" s="1">
        <v>0.12</v>
      </c>
      <c r="U139" s="1">
        <v>0.155</v>
      </c>
      <c r="V139" s="1">
        <v>6.7000000000000004E-2</v>
      </c>
      <c r="W139" s="1">
        <v>9.5000000000000001E-2</v>
      </c>
      <c r="X139" s="1">
        <v>3.0000000000000001E-3</v>
      </c>
      <c r="Y139" s="1">
        <v>1.2E-2</v>
      </c>
      <c r="Z139" s="1">
        <v>0.17599999999999999</v>
      </c>
      <c r="AA139" s="1">
        <v>0.217</v>
      </c>
      <c r="AB139" s="1">
        <v>0.13600000000000001</v>
      </c>
      <c r="AC139" s="1">
        <v>0.17299999999999999</v>
      </c>
      <c r="AD139" s="1">
        <v>6.0000000000000001E-3</v>
      </c>
      <c r="AE139" s="1">
        <v>1.7000000000000001E-2</v>
      </c>
    </row>
    <row r="140" spans="1:31" x14ac:dyDescent="0.25">
      <c r="A140" t="str">
        <f>B140&amp;VLOOKUP(D140, Lookups!$E$2:$F$8,2,FALSE)&amp;C140</f>
        <v>NSCLCEmergency presentation50-59</v>
      </c>
      <c r="B140" t="s">
        <v>19</v>
      </c>
      <c r="C140" t="s">
        <v>8</v>
      </c>
      <c r="D140" t="s">
        <v>33</v>
      </c>
      <c r="E140" s="1">
        <v>4.2369395310571781E-2</v>
      </c>
      <c r="F140" s="1">
        <v>0.14808720691073632</v>
      </c>
      <c r="G140" s="1">
        <v>0.18181818181818182</v>
      </c>
      <c r="H140" s="1">
        <v>2.2624434389140271E-2</v>
      </c>
      <c r="I140" s="1">
        <v>5.3475935828877002E-3</v>
      </c>
      <c r="J140" s="1">
        <v>0.16906622788975731</v>
      </c>
      <c r="K140" s="1">
        <v>0.42575071986836693</v>
      </c>
      <c r="L140" s="1">
        <v>4.9362402303578775E-3</v>
      </c>
      <c r="M140" s="1">
        <v>1</v>
      </c>
      <c r="N140" s="2">
        <v>2431</v>
      </c>
      <c r="P140" s="1">
        <v>3.5000000000000003E-2</v>
      </c>
      <c r="Q140" s="1">
        <v>5.0999999999999997E-2</v>
      </c>
      <c r="R140" s="1">
        <v>0.13500000000000001</v>
      </c>
      <c r="S140" s="1">
        <v>0.16300000000000001</v>
      </c>
      <c r="T140" s="1">
        <v>0.16700000000000001</v>
      </c>
      <c r="U140" s="1">
        <v>0.19800000000000001</v>
      </c>
      <c r="V140" s="1">
        <v>1.7000000000000001E-2</v>
      </c>
      <c r="W140" s="1">
        <v>2.9000000000000001E-2</v>
      </c>
      <c r="X140" s="1">
        <v>3.0000000000000001E-3</v>
      </c>
      <c r="Y140" s="1">
        <v>8.9999999999999993E-3</v>
      </c>
      <c r="Z140" s="1">
        <v>0.155</v>
      </c>
      <c r="AA140" s="1">
        <v>0.184</v>
      </c>
      <c r="AB140" s="1">
        <v>0.40600000000000003</v>
      </c>
      <c r="AC140" s="1">
        <v>0.44600000000000001</v>
      </c>
      <c r="AD140" s="1">
        <v>3.0000000000000001E-3</v>
      </c>
      <c r="AE140" s="1">
        <v>8.9999999999999993E-3</v>
      </c>
    </row>
    <row r="141" spans="1:31" x14ac:dyDescent="0.25">
      <c r="A141" t="str">
        <f>B141&amp;VLOOKUP(D141, Lookups!$E$2:$F$8,2,FALSE)&amp;C141</f>
        <v>NSCLCUnknown50-59</v>
      </c>
      <c r="B141" t="s">
        <v>19</v>
      </c>
      <c r="C141" t="s">
        <v>8</v>
      </c>
      <c r="D141" t="s">
        <v>4</v>
      </c>
      <c r="E141" s="1">
        <v>8.6363636363636365E-2</v>
      </c>
      <c r="F141" s="1">
        <v>0.17272727272727273</v>
      </c>
      <c r="G141" s="1">
        <v>0.12272727272727273</v>
      </c>
      <c r="H141" s="1">
        <v>2.7272727272727271E-2</v>
      </c>
      <c r="I141" s="1">
        <v>9.0909090909090905E-3</v>
      </c>
      <c r="J141" s="1">
        <v>0.10909090909090909</v>
      </c>
      <c r="K141" s="1">
        <v>0.4681818181818182</v>
      </c>
      <c r="L141" s="1">
        <v>4.5454545454545452E-3</v>
      </c>
      <c r="M141" s="1">
        <v>1.0000000000000002</v>
      </c>
      <c r="N141" s="2">
        <v>220</v>
      </c>
      <c r="P141" s="1">
        <v>5.6000000000000001E-2</v>
      </c>
      <c r="Q141" s="1">
        <v>0.13100000000000001</v>
      </c>
      <c r="R141" s="1">
        <v>0.129</v>
      </c>
      <c r="S141" s="1">
        <v>0.22800000000000001</v>
      </c>
      <c r="T141" s="1">
        <v>8.5999999999999993E-2</v>
      </c>
      <c r="U141" s="1">
        <v>0.17299999999999999</v>
      </c>
      <c r="V141" s="1">
        <v>1.2999999999999999E-2</v>
      </c>
      <c r="W141" s="1">
        <v>5.8000000000000003E-2</v>
      </c>
      <c r="X141" s="1">
        <v>2E-3</v>
      </c>
      <c r="Y141" s="1">
        <v>3.3000000000000002E-2</v>
      </c>
      <c r="Z141" s="1">
        <v>7.3999999999999996E-2</v>
      </c>
      <c r="AA141" s="1">
        <v>0.157</v>
      </c>
      <c r="AB141" s="1">
        <v>0.40300000000000002</v>
      </c>
      <c r="AC141" s="1">
        <v>0.53400000000000003</v>
      </c>
      <c r="AD141" s="1">
        <v>1E-3</v>
      </c>
      <c r="AE141" s="1">
        <v>2.5000000000000001E-2</v>
      </c>
    </row>
    <row r="142" spans="1:31" x14ac:dyDescent="0.25">
      <c r="A142" t="str">
        <f>B142&amp;VLOOKUP(D142, Lookups!$E$2:$F$8,2,FALSE)&amp;C142</f>
        <v>NSCLCAll Routes50-59</v>
      </c>
      <c r="B142" t="s">
        <v>19</v>
      </c>
      <c r="C142" t="s">
        <v>8</v>
      </c>
      <c r="D142" t="s">
        <v>34</v>
      </c>
      <c r="E142" s="1">
        <v>0.14238748441219817</v>
      </c>
      <c r="F142" s="1">
        <v>0.19600952272984923</v>
      </c>
      <c r="G142" s="1">
        <v>0.13581226618297246</v>
      </c>
      <c r="H142" s="1">
        <v>6.9493254733023466E-2</v>
      </c>
      <c r="I142" s="1">
        <v>7.5955107130710802E-3</v>
      </c>
      <c r="J142" s="1">
        <v>0.21018025167214602</v>
      </c>
      <c r="K142" s="1">
        <v>0.22888561387597778</v>
      </c>
      <c r="L142" s="1">
        <v>9.6360956807618192E-3</v>
      </c>
      <c r="M142" s="1">
        <v>1</v>
      </c>
      <c r="N142" s="2">
        <v>8821</v>
      </c>
      <c r="P142" s="1">
        <v>0.13500000000000001</v>
      </c>
      <c r="Q142" s="1">
        <v>0.15</v>
      </c>
      <c r="R142" s="1">
        <v>0.188</v>
      </c>
      <c r="S142" s="1">
        <v>0.20399999999999999</v>
      </c>
      <c r="T142" s="1">
        <v>0.129</v>
      </c>
      <c r="U142" s="1">
        <v>0.14299999999999999</v>
      </c>
      <c r="V142" s="1">
        <v>6.4000000000000001E-2</v>
      </c>
      <c r="W142" s="1">
        <v>7.4999999999999997E-2</v>
      </c>
      <c r="X142" s="1">
        <v>6.0000000000000001E-3</v>
      </c>
      <c r="Y142" s="1">
        <v>0.01</v>
      </c>
      <c r="Z142" s="1">
        <v>0.20200000000000001</v>
      </c>
      <c r="AA142" s="1">
        <v>0.219</v>
      </c>
      <c r="AB142" s="1">
        <v>0.22</v>
      </c>
      <c r="AC142" s="1">
        <v>0.23799999999999999</v>
      </c>
      <c r="AD142" s="1">
        <v>8.0000000000000002E-3</v>
      </c>
      <c r="AE142" s="1">
        <v>1.2E-2</v>
      </c>
    </row>
    <row r="143" spans="1:31" x14ac:dyDescent="0.25">
      <c r="A143" t="str">
        <f>B143&amp;VLOOKUP(D143, Lookups!$E$2:$F$8,2,FALSE)&amp;C143</f>
        <v>NSCLCScreen detected60-69</v>
      </c>
      <c r="B143" t="s">
        <v>19</v>
      </c>
      <c r="C143" t="s">
        <v>9</v>
      </c>
      <c r="D143" t="s">
        <v>30</v>
      </c>
      <c r="E143" s="1" t="s">
        <v>137</v>
      </c>
      <c r="F143" s="1" t="s">
        <v>137</v>
      </c>
      <c r="G143" s="1" t="s">
        <v>137</v>
      </c>
      <c r="H143" s="1" t="s">
        <v>137</v>
      </c>
      <c r="I143" s="1" t="s">
        <v>137</v>
      </c>
      <c r="J143" s="1" t="s">
        <v>137</v>
      </c>
      <c r="K143" s="1" t="s">
        <v>137</v>
      </c>
      <c r="L143" s="1" t="s">
        <v>137</v>
      </c>
      <c r="M143" s="1">
        <v>0</v>
      </c>
      <c r="N143" s="2">
        <v>0</v>
      </c>
      <c r="P143" s="1"/>
      <c r="Q143" s="1"/>
      <c r="R143" s="1"/>
      <c r="S143" s="1"/>
      <c r="T143" s="1"/>
      <c r="U143" s="1"/>
      <c r="V143" s="1"/>
      <c r="W143" s="1"/>
      <c r="X143" s="1"/>
      <c r="Y143" s="1"/>
      <c r="Z143" s="1"/>
      <c r="AA143" s="1"/>
      <c r="AB143" s="1"/>
      <c r="AC143" s="1"/>
      <c r="AD143" s="1"/>
      <c r="AE143" s="1"/>
    </row>
    <row r="144" spans="1:31" x14ac:dyDescent="0.25">
      <c r="A144" t="str">
        <f>B144&amp;VLOOKUP(D144, Lookups!$E$2:$F$8,2,FALSE)&amp;C144</f>
        <v>NSCLCTwo Week Wait60-69</v>
      </c>
      <c r="B144" t="s">
        <v>19</v>
      </c>
      <c r="C144" t="s">
        <v>9</v>
      </c>
      <c r="D144" t="s">
        <v>31</v>
      </c>
      <c r="E144" s="1">
        <v>0.15664439495174462</v>
      </c>
      <c r="F144" s="1">
        <v>0.24449393714427123</v>
      </c>
      <c r="G144" s="1">
        <v>0.13226924028705767</v>
      </c>
      <c r="H144" s="1">
        <v>9.4654788418708238E-2</v>
      </c>
      <c r="I144" s="1">
        <v>7.300173224449394E-3</v>
      </c>
      <c r="J144" s="1">
        <v>0.23719376391982183</v>
      </c>
      <c r="K144" s="1">
        <v>0.11927740658252908</v>
      </c>
      <c r="L144" s="1">
        <v>8.1662954714179659E-3</v>
      </c>
      <c r="M144" s="1">
        <v>1</v>
      </c>
      <c r="N144" s="2">
        <v>8082</v>
      </c>
      <c r="P144" s="1">
        <v>0.14899999999999999</v>
      </c>
      <c r="Q144" s="1">
        <v>0.16500000000000001</v>
      </c>
      <c r="R144" s="1">
        <v>0.23499999999999999</v>
      </c>
      <c r="S144" s="1">
        <v>0.254</v>
      </c>
      <c r="T144" s="1">
        <v>0.125</v>
      </c>
      <c r="U144" s="1">
        <v>0.14000000000000001</v>
      </c>
      <c r="V144" s="1">
        <v>8.7999999999999995E-2</v>
      </c>
      <c r="W144" s="1">
        <v>0.10100000000000001</v>
      </c>
      <c r="X144" s="1">
        <v>6.0000000000000001E-3</v>
      </c>
      <c r="Y144" s="1">
        <v>8.9999999999999993E-3</v>
      </c>
      <c r="Z144" s="1">
        <v>0.22800000000000001</v>
      </c>
      <c r="AA144" s="1">
        <v>0.247</v>
      </c>
      <c r="AB144" s="1">
        <v>0.112</v>
      </c>
      <c r="AC144" s="1">
        <v>0.127</v>
      </c>
      <c r="AD144" s="1">
        <v>6.0000000000000001E-3</v>
      </c>
      <c r="AE144" s="1">
        <v>0.01</v>
      </c>
    </row>
    <row r="145" spans="1:31" x14ac:dyDescent="0.25">
      <c r="A145" t="str">
        <f>B145&amp;VLOOKUP(D145, Lookups!$E$2:$F$8,2,FALSE)&amp;C145</f>
        <v>NSCLCGP referral60-69</v>
      </c>
      <c r="B145" t="s">
        <v>19</v>
      </c>
      <c r="C145" t="s">
        <v>9</v>
      </c>
      <c r="D145" t="s">
        <v>2</v>
      </c>
      <c r="E145" s="1">
        <v>0.20568857464245541</v>
      </c>
      <c r="F145" s="1">
        <v>0.15699823236381166</v>
      </c>
      <c r="G145" s="1">
        <v>0.15956933954684235</v>
      </c>
      <c r="H145" s="1">
        <v>6.6206009963040338E-2</v>
      </c>
      <c r="I145" s="1">
        <v>7.874015748031496E-3</v>
      </c>
      <c r="J145" s="1">
        <v>0.14462477904547646</v>
      </c>
      <c r="K145" s="1">
        <v>0.25277197493170495</v>
      </c>
      <c r="L145" s="1">
        <v>6.2670737586373133E-3</v>
      </c>
      <c r="M145" s="1">
        <v>1</v>
      </c>
      <c r="N145" s="2">
        <v>6223</v>
      </c>
      <c r="P145" s="1">
        <v>0.19600000000000001</v>
      </c>
      <c r="Q145" s="1">
        <v>0.216</v>
      </c>
      <c r="R145" s="1">
        <v>0.14799999999999999</v>
      </c>
      <c r="S145" s="1">
        <v>0.16600000000000001</v>
      </c>
      <c r="T145" s="1">
        <v>0.151</v>
      </c>
      <c r="U145" s="1">
        <v>0.16900000000000001</v>
      </c>
      <c r="V145" s="1">
        <v>0.06</v>
      </c>
      <c r="W145" s="1">
        <v>7.2999999999999995E-2</v>
      </c>
      <c r="X145" s="1">
        <v>6.0000000000000001E-3</v>
      </c>
      <c r="Y145" s="1">
        <v>0.01</v>
      </c>
      <c r="Z145" s="1">
        <v>0.13600000000000001</v>
      </c>
      <c r="AA145" s="1">
        <v>0.154</v>
      </c>
      <c r="AB145" s="1">
        <v>0.24199999999999999</v>
      </c>
      <c r="AC145" s="1">
        <v>0.26400000000000001</v>
      </c>
      <c r="AD145" s="1">
        <v>5.0000000000000001E-3</v>
      </c>
      <c r="AE145" s="1">
        <v>8.9999999999999993E-3</v>
      </c>
    </row>
    <row r="146" spans="1:31" x14ac:dyDescent="0.25">
      <c r="A146" t="str">
        <f>B146&amp;VLOOKUP(D146, Lookups!$E$2:$F$8,2,FALSE)&amp;C146</f>
        <v>NSCLCIP &amp; OP60-69</v>
      </c>
      <c r="B146" t="s">
        <v>19</v>
      </c>
      <c r="C146" t="s">
        <v>9</v>
      </c>
      <c r="D146" t="s">
        <v>32</v>
      </c>
      <c r="E146" s="1">
        <v>0.25168831168831168</v>
      </c>
      <c r="F146" s="1">
        <v>0.14753246753246754</v>
      </c>
      <c r="G146" s="1">
        <v>0.14831168831168831</v>
      </c>
      <c r="H146" s="1">
        <v>6.701298701298701E-2</v>
      </c>
      <c r="I146" s="1">
        <v>1.038961038961039E-2</v>
      </c>
      <c r="J146" s="1">
        <v>0.15220779220779221</v>
      </c>
      <c r="K146" s="1">
        <v>0.21688311688311687</v>
      </c>
      <c r="L146" s="1">
        <v>5.9740259740259745E-3</v>
      </c>
      <c r="M146" s="1">
        <v>1</v>
      </c>
      <c r="N146" s="2">
        <v>3850</v>
      </c>
      <c r="P146" s="1">
        <v>0.23799999999999999</v>
      </c>
      <c r="Q146" s="1">
        <v>0.26600000000000001</v>
      </c>
      <c r="R146" s="1">
        <v>0.13700000000000001</v>
      </c>
      <c r="S146" s="1">
        <v>0.159</v>
      </c>
      <c r="T146" s="1">
        <v>0.13700000000000001</v>
      </c>
      <c r="U146" s="1">
        <v>0.16</v>
      </c>
      <c r="V146" s="1">
        <v>0.06</v>
      </c>
      <c r="W146" s="1">
        <v>7.4999999999999997E-2</v>
      </c>
      <c r="X146" s="1">
        <v>8.0000000000000002E-3</v>
      </c>
      <c r="Y146" s="1">
        <v>1.4E-2</v>
      </c>
      <c r="Z146" s="1">
        <v>0.14099999999999999</v>
      </c>
      <c r="AA146" s="1">
        <v>0.16400000000000001</v>
      </c>
      <c r="AB146" s="1">
        <v>0.20399999999999999</v>
      </c>
      <c r="AC146" s="1">
        <v>0.23</v>
      </c>
      <c r="AD146" s="1">
        <v>4.0000000000000001E-3</v>
      </c>
      <c r="AE146" s="1">
        <v>8.9999999999999993E-3</v>
      </c>
    </row>
    <row r="147" spans="1:31" x14ac:dyDescent="0.25">
      <c r="A147" t="str">
        <f>B147&amp;VLOOKUP(D147, Lookups!$E$2:$F$8,2,FALSE)&amp;C147</f>
        <v>NSCLCEmergency presentation60-69</v>
      </c>
      <c r="B147" t="s">
        <v>19</v>
      </c>
      <c r="C147" t="s">
        <v>9</v>
      </c>
      <c r="D147" t="s">
        <v>33</v>
      </c>
      <c r="E147" s="1">
        <v>4.259991216512956E-2</v>
      </c>
      <c r="F147" s="1">
        <v>0.11682037768994291</v>
      </c>
      <c r="G147" s="1">
        <v>0.18547796808666375</v>
      </c>
      <c r="H147" s="1">
        <v>1.756697408871322E-2</v>
      </c>
      <c r="I147" s="1">
        <v>2.3422632118284292E-3</v>
      </c>
      <c r="J147" s="1">
        <v>9.3836919923876452E-2</v>
      </c>
      <c r="K147" s="1">
        <v>0.53915971307275656</v>
      </c>
      <c r="L147" s="1">
        <v>2.1958717610891525E-3</v>
      </c>
      <c r="M147" s="1">
        <v>1.0000000000000002</v>
      </c>
      <c r="N147" s="2">
        <v>6831</v>
      </c>
      <c r="P147" s="1">
        <v>3.7999999999999999E-2</v>
      </c>
      <c r="Q147" s="1">
        <v>4.8000000000000001E-2</v>
      </c>
      <c r="R147" s="1">
        <v>0.109</v>
      </c>
      <c r="S147" s="1">
        <v>0.125</v>
      </c>
      <c r="T147" s="1">
        <v>0.17599999999999999</v>
      </c>
      <c r="U147" s="1">
        <v>0.19500000000000001</v>
      </c>
      <c r="V147" s="1">
        <v>1.4999999999999999E-2</v>
      </c>
      <c r="W147" s="1">
        <v>2.1000000000000001E-2</v>
      </c>
      <c r="X147" s="1">
        <v>1E-3</v>
      </c>
      <c r="Y147" s="1">
        <v>4.0000000000000001E-3</v>
      </c>
      <c r="Z147" s="1">
        <v>8.6999999999999994E-2</v>
      </c>
      <c r="AA147" s="1">
        <v>0.10100000000000001</v>
      </c>
      <c r="AB147" s="1">
        <v>0.52700000000000002</v>
      </c>
      <c r="AC147" s="1">
        <v>0.55100000000000005</v>
      </c>
      <c r="AD147" s="1">
        <v>1E-3</v>
      </c>
      <c r="AE147" s="1">
        <v>4.0000000000000001E-3</v>
      </c>
    </row>
    <row r="148" spans="1:31" x14ac:dyDescent="0.25">
      <c r="A148" t="str">
        <f>B148&amp;VLOOKUP(D148, Lookups!$E$2:$F$8,2,FALSE)&amp;C148</f>
        <v>NSCLCUnknown60-69</v>
      </c>
      <c r="B148" t="s">
        <v>19</v>
      </c>
      <c r="C148" t="s">
        <v>9</v>
      </c>
      <c r="D148" t="s">
        <v>4</v>
      </c>
      <c r="E148" s="1">
        <v>6.4976228209191758E-2</v>
      </c>
      <c r="F148" s="1">
        <v>9.9841521394611721E-2</v>
      </c>
      <c r="G148" s="1">
        <v>9.3502377179080817E-2</v>
      </c>
      <c r="H148" s="1">
        <v>2.5356576862123614E-2</v>
      </c>
      <c r="I148" s="1">
        <v>4.7543581616481777E-3</v>
      </c>
      <c r="J148" s="1">
        <v>7.448494453248812E-2</v>
      </c>
      <c r="K148" s="1">
        <v>0.6339144215530903</v>
      </c>
      <c r="L148" s="1">
        <v>3.1695721077654518E-3</v>
      </c>
      <c r="M148" s="1">
        <v>0.99999999999999989</v>
      </c>
      <c r="N148" s="2">
        <v>631</v>
      </c>
      <c r="P148" s="1">
        <v>4.8000000000000001E-2</v>
      </c>
      <c r="Q148" s="1">
        <v>8.6999999999999994E-2</v>
      </c>
      <c r="R148" s="1">
        <v>7.9000000000000001E-2</v>
      </c>
      <c r="S148" s="1">
        <v>0.126</v>
      </c>
      <c r="T148" s="1">
        <v>7.2999999999999995E-2</v>
      </c>
      <c r="U148" s="1">
        <v>0.11899999999999999</v>
      </c>
      <c r="V148" s="1">
        <v>1.6E-2</v>
      </c>
      <c r="W148" s="1">
        <v>4.1000000000000002E-2</v>
      </c>
      <c r="X148" s="1">
        <v>2E-3</v>
      </c>
      <c r="Y148" s="1">
        <v>1.4E-2</v>
      </c>
      <c r="Z148" s="1">
        <v>5.6000000000000001E-2</v>
      </c>
      <c r="AA148" s="1">
        <v>9.8000000000000004E-2</v>
      </c>
      <c r="AB148" s="1">
        <v>0.59599999999999997</v>
      </c>
      <c r="AC148" s="1">
        <v>0.67100000000000004</v>
      </c>
      <c r="AD148" s="1">
        <v>1E-3</v>
      </c>
      <c r="AE148" s="1">
        <v>1.0999999999999999E-2</v>
      </c>
    </row>
    <row r="149" spans="1:31" x14ac:dyDescent="0.25">
      <c r="A149" t="str">
        <f>B149&amp;VLOOKUP(D149, Lookups!$E$2:$F$8,2,FALSE)&amp;C149</f>
        <v>NSCLCAll Routes60-69</v>
      </c>
      <c r="B149" t="s">
        <v>19</v>
      </c>
      <c r="C149" t="s">
        <v>9</v>
      </c>
      <c r="D149" t="s">
        <v>34</v>
      </c>
      <c r="E149" s="1">
        <v>0.15017371276886443</v>
      </c>
      <c r="F149" s="1">
        <v>0.17105828160986844</v>
      </c>
      <c r="G149" s="1">
        <v>0.15454580942342974</v>
      </c>
      <c r="H149" s="1">
        <v>6.1326462895733305E-2</v>
      </c>
      <c r="I149" s="1">
        <v>6.519108404575087E-3</v>
      </c>
      <c r="J149" s="1">
        <v>0.15969863762345318</v>
      </c>
      <c r="K149" s="1">
        <v>0.29101768356950464</v>
      </c>
      <c r="L149" s="1">
        <v>5.6603037045711829E-3</v>
      </c>
      <c r="M149" s="1">
        <v>0.99999999999999989</v>
      </c>
      <c r="N149" s="2">
        <v>25617</v>
      </c>
      <c r="P149" s="1">
        <v>0.14599999999999999</v>
      </c>
      <c r="Q149" s="1">
        <v>0.155</v>
      </c>
      <c r="R149" s="1">
        <v>0.16600000000000001</v>
      </c>
      <c r="S149" s="1">
        <v>0.17599999999999999</v>
      </c>
      <c r="T149" s="1">
        <v>0.15</v>
      </c>
      <c r="U149" s="1">
        <v>0.159</v>
      </c>
      <c r="V149" s="1">
        <v>5.8000000000000003E-2</v>
      </c>
      <c r="W149" s="1">
        <v>6.4000000000000001E-2</v>
      </c>
      <c r="X149" s="1">
        <v>6.0000000000000001E-3</v>
      </c>
      <c r="Y149" s="1">
        <v>8.0000000000000002E-3</v>
      </c>
      <c r="Z149" s="1">
        <v>0.155</v>
      </c>
      <c r="AA149" s="1">
        <v>0.16400000000000001</v>
      </c>
      <c r="AB149" s="1">
        <v>0.28499999999999998</v>
      </c>
      <c r="AC149" s="1">
        <v>0.29699999999999999</v>
      </c>
      <c r="AD149" s="1">
        <v>5.0000000000000001E-3</v>
      </c>
      <c r="AE149" s="1">
        <v>7.0000000000000001E-3</v>
      </c>
    </row>
    <row r="150" spans="1:31" x14ac:dyDescent="0.25">
      <c r="A150" t="str">
        <f>B150&amp;VLOOKUP(D150, Lookups!$E$2:$F$8,2,FALSE)&amp;C150</f>
        <v>NSCLCScreen detected70-79</v>
      </c>
      <c r="B150" t="s">
        <v>19</v>
      </c>
      <c r="C150" t="s">
        <v>10</v>
      </c>
      <c r="D150" t="s">
        <v>30</v>
      </c>
      <c r="E150" s="1" t="s">
        <v>137</v>
      </c>
      <c r="F150" s="1" t="s">
        <v>137</v>
      </c>
      <c r="G150" s="1" t="s">
        <v>137</v>
      </c>
      <c r="H150" s="1" t="s">
        <v>137</v>
      </c>
      <c r="I150" s="1" t="s">
        <v>137</v>
      </c>
      <c r="J150" s="1" t="s">
        <v>137</v>
      </c>
      <c r="K150" s="1" t="s">
        <v>137</v>
      </c>
      <c r="L150" s="1" t="s">
        <v>137</v>
      </c>
      <c r="M150" s="1">
        <v>0</v>
      </c>
      <c r="N150" s="2">
        <v>0</v>
      </c>
      <c r="P150" s="1"/>
      <c r="Q150" s="1"/>
      <c r="R150" s="1"/>
      <c r="S150" s="1"/>
      <c r="T150" s="1"/>
      <c r="U150" s="1"/>
      <c r="V150" s="1"/>
      <c r="W150" s="1"/>
      <c r="X150" s="1"/>
      <c r="Y150" s="1"/>
      <c r="Z150" s="1"/>
      <c r="AA150" s="1"/>
      <c r="AB150" s="1"/>
      <c r="AC150" s="1"/>
      <c r="AD150" s="1"/>
      <c r="AE150" s="1"/>
    </row>
    <row r="151" spans="1:31" x14ac:dyDescent="0.25">
      <c r="A151" t="str">
        <f>B151&amp;VLOOKUP(D151, Lookups!$E$2:$F$8,2,FALSE)&amp;C151</f>
        <v>NSCLCTwo Week Wait70-79</v>
      </c>
      <c r="B151" t="s">
        <v>19</v>
      </c>
      <c r="C151" t="s">
        <v>10</v>
      </c>
      <c r="D151" t="s">
        <v>31</v>
      </c>
      <c r="E151" s="1">
        <v>0.16122343182996371</v>
      </c>
      <c r="F151" s="1">
        <v>0.20114048729911871</v>
      </c>
      <c r="G151" s="1">
        <v>0.19803006739243131</v>
      </c>
      <c r="H151" s="1">
        <v>5.3913945049248319E-2</v>
      </c>
      <c r="I151" s="1">
        <v>8.3981337480559873E-3</v>
      </c>
      <c r="J151" s="1">
        <v>0.1487817522032141</v>
      </c>
      <c r="K151" s="1">
        <v>0.22477967858994297</v>
      </c>
      <c r="L151" s="1">
        <v>3.7325038880248835E-3</v>
      </c>
      <c r="M151" s="1">
        <v>1</v>
      </c>
      <c r="N151" s="2">
        <v>9645</v>
      </c>
      <c r="P151" s="1">
        <v>0.154</v>
      </c>
      <c r="Q151" s="1">
        <v>0.16900000000000001</v>
      </c>
      <c r="R151" s="1">
        <v>0.193</v>
      </c>
      <c r="S151" s="1">
        <v>0.20899999999999999</v>
      </c>
      <c r="T151" s="1">
        <v>0.19</v>
      </c>
      <c r="U151" s="1">
        <v>0.20599999999999999</v>
      </c>
      <c r="V151" s="1">
        <v>0.05</v>
      </c>
      <c r="W151" s="1">
        <v>5.8999999999999997E-2</v>
      </c>
      <c r="X151" s="1">
        <v>7.0000000000000001E-3</v>
      </c>
      <c r="Y151" s="1">
        <v>0.01</v>
      </c>
      <c r="Z151" s="1">
        <v>0.14199999999999999</v>
      </c>
      <c r="AA151" s="1">
        <v>0.156</v>
      </c>
      <c r="AB151" s="1">
        <v>0.217</v>
      </c>
      <c r="AC151" s="1">
        <v>0.23300000000000001</v>
      </c>
      <c r="AD151" s="1">
        <v>3.0000000000000001E-3</v>
      </c>
      <c r="AE151" s="1">
        <v>5.0000000000000001E-3</v>
      </c>
    </row>
    <row r="152" spans="1:31" x14ac:dyDescent="0.25">
      <c r="A152" t="str">
        <f>B152&amp;VLOOKUP(D152, Lookups!$E$2:$F$8,2,FALSE)&amp;C152</f>
        <v>NSCLCGP referral70-79</v>
      </c>
      <c r="B152" t="s">
        <v>19</v>
      </c>
      <c r="C152" t="s">
        <v>10</v>
      </c>
      <c r="D152" t="s">
        <v>2</v>
      </c>
      <c r="E152" s="1">
        <v>0.19265516836794555</v>
      </c>
      <c r="F152" s="1">
        <v>0.12143611404435058</v>
      </c>
      <c r="G152" s="1">
        <v>0.20603074034964214</v>
      </c>
      <c r="H152" s="1">
        <v>3.6958817317845831E-2</v>
      </c>
      <c r="I152" s="1">
        <v>7.0397747272087294E-3</v>
      </c>
      <c r="J152" s="1">
        <v>8.2834682623489378E-2</v>
      </c>
      <c r="K152" s="1">
        <v>0.34940748562712659</v>
      </c>
      <c r="L152" s="1">
        <v>3.6372169423911768E-3</v>
      </c>
      <c r="M152" s="1">
        <v>0.99999999999999989</v>
      </c>
      <c r="N152" s="2">
        <v>8523</v>
      </c>
      <c r="P152" s="1">
        <v>0.184</v>
      </c>
      <c r="Q152" s="1">
        <v>0.20100000000000001</v>
      </c>
      <c r="R152" s="1">
        <v>0.115</v>
      </c>
      <c r="S152" s="1">
        <v>0.129</v>
      </c>
      <c r="T152" s="1">
        <v>0.19800000000000001</v>
      </c>
      <c r="U152" s="1">
        <v>0.215</v>
      </c>
      <c r="V152" s="1">
        <v>3.3000000000000002E-2</v>
      </c>
      <c r="W152" s="1">
        <v>4.1000000000000002E-2</v>
      </c>
      <c r="X152" s="1">
        <v>5.0000000000000001E-3</v>
      </c>
      <c r="Y152" s="1">
        <v>8.9999999999999993E-3</v>
      </c>
      <c r="Z152" s="1">
        <v>7.6999999999999999E-2</v>
      </c>
      <c r="AA152" s="1">
        <v>8.8999999999999996E-2</v>
      </c>
      <c r="AB152" s="1">
        <v>0.33900000000000002</v>
      </c>
      <c r="AC152" s="1">
        <v>0.36</v>
      </c>
      <c r="AD152" s="1">
        <v>3.0000000000000001E-3</v>
      </c>
      <c r="AE152" s="1">
        <v>5.0000000000000001E-3</v>
      </c>
    </row>
    <row r="153" spans="1:31" x14ac:dyDescent="0.25">
      <c r="A153" t="str">
        <f>B153&amp;VLOOKUP(D153, Lookups!$E$2:$F$8,2,FALSE)&amp;C153</f>
        <v>NSCLCIP &amp; OP70-79</v>
      </c>
      <c r="B153" t="s">
        <v>19</v>
      </c>
      <c r="C153" t="s">
        <v>10</v>
      </c>
      <c r="D153" t="s">
        <v>32</v>
      </c>
      <c r="E153" s="1">
        <v>0.2499474900231044</v>
      </c>
      <c r="F153" s="1">
        <v>0.11762234824616677</v>
      </c>
      <c r="G153" s="1">
        <v>0.18882587691661415</v>
      </c>
      <c r="H153" s="1">
        <v>4.2218021424070572E-2</v>
      </c>
      <c r="I153" s="1">
        <v>9.2417559336273897E-3</v>
      </c>
      <c r="J153" s="1">
        <v>8.5066162570888462E-2</v>
      </c>
      <c r="K153" s="1">
        <v>0.30371770636420919</v>
      </c>
      <c r="L153" s="1">
        <v>3.3606385213190504E-3</v>
      </c>
      <c r="M153" s="1">
        <v>1</v>
      </c>
      <c r="N153" s="2">
        <v>4761</v>
      </c>
      <c r="P153" s="1">
        <v>0.23799999999999999</v>
      </c>
      <c r="Q153" s="1">
        <v>0.26200000000000001</v>
      </c>
      <c r="R153" s="1">
        <v>0.109</v>
      </c>
      <c r="S153" s="1">
        <v>0.127</v>
      </c>
      <c r="T153" s="1">
        <v>0.17799999999999999</v>
      </c>
      <c r="U153" s="1">
        <v>0.2</v>
      </c>
      <c r="V153" s="1">
        <v>3.6999999999999998E-2</v>
      </c>
      <c r="W153" s="1">
        <v>4.8000000000000001E-2</v>
      </c>
      <c r="X153" s="1">
        <v>7.0000000000000001E-3</v>
      </c>
      <c r="Y153" s="1">
        <v>1.2E-2</v>
      </c>
      <c r="Z153" s="1">
        <v>7.6999999999999999E-2</v>
      </c>
      <c r="AA153" s="1">
        <v>9.2999999999999999E-2</v>
      </c>
      <c r="AB153" s="1">
        <v>0.29099999999999998</v>
      </c>
      <c r="AC153" s="1">
        <v>0.317</v>
      </c>
      <c r="AD153" s="1">
        <v>2E-3</v>
      </c>
      <c r="AE153" s="1">
        <v>5.0000000000000001E-3</v>
      </c>
    </row>
    <row r="154" spans="1:31" x14ac:dyDescent="0.25">
      <c r="A154" t="str">
        <f>B154&amp;VLOOKUP(D154, Lookups!$E$2:$F$8,2,FALSE)&amp;C154</f>
        <v>NSCLCEmergency presentation70-79</v>
      </c>
      <c r="B154" t="s">
        <v>19</v>
      </c>
      <c r="C154" t="s">
        <v>10</v>
      </c>
      <c r="D154" t="s">
        <v>33</v>
      </c>
      <c r="E154" s="1">
        <v>3.3284430588666786E-2</v>
      </c>
      <c r="F154" s="1">
        <v>6.9778103796075561E-2</v>
      </c>
      <c r="G154" s="1">
        <v>0.16284613973959289</v>
      </c>
      <c r="H154" s="1">
        <v>6.6018705299834956E-3</v>
      </c>
      <c r="I154" s="1">
        <v>2.2923161562442692E-3</v>
      </c>
      <c r="J154" s="1">
        <v>3.5118283513662203E-2</v>
      </c>
      <c r="K154" s="1">
        <v>0.68989547038327526</v>
      </c>
      <c r="L154" s="1">
        <v>1.8338529249954154E-4</v>
      </c>
      <c r="M154" s="1">
        <v>1</v>
      </c>
      <c r="N154" s="2">
        <v>10906</v>
      </c>
      <c r="P154" s="1">
        <v>0.03</v>
      </c>
      <c r="Q154" s="1">
        <v>3.6999999999999998E-2</v>
      </c>
      <c r="R154" s="1">
        <v>6.5000000000000002E-2</v>
      </c>
      <c r="S154" s="1">
        <v>7.4999999999999997E-2</v>
      </c>
      <c r="T154" s="1">
        <v>0.156</v>
      </c>
      <c r="U154" s="1">
        <v>0.17</v>
      </c>
      <c r="V154" s="1">
        <v>5.0000000000000001E-3</v>
      </c>
      <c r="W154" s="1">
        <v>8.0000000000000002E-3</v>
      </c>
      <c r="X154" s="1">
        <v>2E-3</v>
      </c>
      <c r="Y154" s="1">
        <v>3.0000000000000001E-3</v>
      </c>
      <c r="Z154" s="1">
        <v>3.2000000000000001E-2</v>
      </c>
      <c r="AA154" s="1">
        <v>3.9E-2</v>
      </c>
      <c r="AB154" s="1">
        <v>0.68100000000000005</v>
      </c>
      <c r="AC154" s="1">
        <v>0.69899999999999995</v>
      </c>
      <c r="AD154" s="1">
        <v>0</v>
      </c>
      <c r="AE154" s="1">
        <v>1E-3</v>
      </c>
    </row>
    <row r="155" spans="1:31" x14ac:dyDescent="0.25">
      <c r="A155" t="str">
        <f>B155&amp;VLOOKUP(D155, Lookups!$E$2:$F$8,2,FALSE)&amp;C155</f>
        <v>NSCLCUnknown70-79</v>
      </c>
      <c r="B155" t="s">
        <v>19</v>
      </c>
      <c r="C155" t="s">
        <v>10</v>
      </c>
      <c r="D155" t="s">
        <v>4</v>
      </c>
      <c r="E155" s="1">
        <v>6.4039408866995079E-2</v>
      </c>
      <c r="F155" s="1">
        <v>8.0049261083743842E-2</v>
      </c>
      <c r="G155" s="1">
        <v>0.11083743842364532</v>
      </c>
      <c r="H155" s="1">
        <v>9.852216748768473E-3</v>
      </c>
      <c r="I155" s="1">
        <v>4.9261083743842365E-3</v>
      </c>
      <c r="J155" s="1">
        <v>2.7093596059113302E-2</v>
      </c>
      <c r="K155" s="1">
        <v>0.70320197044334976</v>
      </c>
      <c r="L155" s="1">
        <v>0</v>
      </c>
      <c r="M155" s="1">
        <v>1</v>
      </c>
      <c r="N155" s="2">
        <v>812</v>
      </c>
      <c r="P155" s="1">
        <v>4.9000000000000002E-2</v>
      </c>
      <c r="Q155" s="1">
        <v>8.3000000000000004E-2</v>
      </c>
      <c r="R155" s="1">
        <v>6.3E-2</v>
      </c>
      <c r="S155" s="1">
        <v>0.10100000000000001</v>
      </c>
      <c r="T155" s="1">
        <v>9.0999999999999998E-2</v>
      </c>
      <c r="U155" s="1">
        <v>0.13400000000000001</v>
      </c>
      <c r="V155" s="1">
        <v>5.0000000000000001E-3</v>
      </c>
      <c r="W155" s="1">
        <v>1.9E-2</v>
      </c>
      <c r="X155" s="1">
        <v>2E-3</v>
      </c>
      <c r="Y155" s="1">
        <v>1.2999999999999999E-2</v>
      </c>
      <c r="Z155" s="1">
        <v>1.7999999999999999E-2</v>
      </c>
      <c r="AA155" s="1">
        <v>4.1000000000000002E-2</v>
      </c>
      <c r="AB155" s="1">
        <v>0.67100000000000004</v>
      </c>
      <c r="AC155" s="1">
        <v>0.73399999999999999</v>
      </c>
      <c r="AD155" s="1">
        <v>0</v>
      </c>
      <c r="AE155" s="1">
        <v>5.0000000000000001E-3</v>
      </c>
    </row>
    <row r="156" spans="1:31" x14ac:dyDescent="0.25">
      <c r="A156" t="str">
        <f>B156&amp;VLOOKUP(D156, Lookups!$E$2:$F$8,2,FALSE)&amp;C156</f>
        <v>NSCLCAll Routes70-79</v>
      </c>
      <c r="B156" t="s">
        <v>19</v>
      </c>
      <c r="C156" t="s">
        <v>10</v>
      </c>
      <c r="D156" t="s">
        <v>34</v>
      </c>
      <c r="E156" s="1">
        <v>0.1385978584004387</v>
      </c>
      <c r="F156" s="1">
        <v>0.125869483649378</v>
      </c>
      <c r="G156" s="1">
        <v>0.1856149161543568</v>
      </c>
      <c r="H156" s="1">
        <v>3.2210581002684216E-2</v>
      </c>
      <c r="I156" s="1">
        <v>6.1765809449591596E-3</v>
      </c>
      <c r="J156" s="1">
        <v>8.5173319479319998E-2</v>
      </c>
      <c r="K156" s="1">
        <v>0.42390394550754756</v>
      </c>
      <c r="L156" s="1">
        <v>2.4533148613155539E-3</v>
      </c>
      <c r="M156" s="1">
        <v>0.99999999999999978</v>
      </c>
      <c r="N156" s="2">
        <v>34647</v>
      </c>
      <c r="P156" s="1">
        <v>0.13500000000000001</v>
      </c>
      <c r="Q156" s="1">
        <v>0.14199999999999999</v>
      </c>
      <c r="R156" s="1">
        <v>0.122</v>
      </c>
      <c r="S156" s="1">
        <v>0.129</v>
      </c>
      <c r="T156" s="1">
        <v>0.182</v>
      </c>
      <c r="U156" s="1">
        <v>0.19</v>
      </c>
      <c r="V156" s="1">
        <v>0.03</v>
      </c>
      <c r="W156" s="1">
        <v>3.4000000000000002E-2</v>
      </c>
      <c r="X156" s="1">
        <v>5.0000000000000001E-3</v>
      </c>
      <c r="Y156" s="1">
        <v>7.0000000000000001E-3</v>
      </c>
      <c r="Z156" s="1">
        <v>8.2000000000000003E-2</v>
      </c>
      <c r="AA156" s="1">
        <v>8.7999999999999995E-2</v>
      </c>
      <c r="AB156" s="1">
        <v>0.41899999999999998</v>
      </c>
      <c r="AC156" s="1">
        <v>0.42899999999999999</v>
      </c>
      <c r="AD156" s="1">
        <v>2E-3</v>
      </c>
      <c r="AE156" s="1">
        <v>3.0000000000000001E-3</v>
      </c>
    </row>
    <row r="157" spans="1:31" x14ac:dyDescent="0.25">
      <c r="A157" t="str">
        <f>B157&amp;VLOOKUP(D157, Lookups!$E$2:$F$8,2,FALSE)&amp;C157</f>
        <v>NSCLCScreen detected80-84</v>
      </c>
      <c r="B157" t="s">
        <v>19</v>
      </c>
      <c r="C157" t="s">
        <v>11</v>
      </c>
      <c r="D157" t="s">
        <v>30</v>
      </c>
      <c r="E157" s="1" t="s">
        <v>137</v>
      </c>
      <c r="F157" s="1" t="s">
        <v>137</v>
      </c>
      <c r="G157" s="1" t="s">
        <v>137</v>
      </c>
      <c r="H157" s="1" t="s">
        <v>137</v>
      </c>
      <c r="I157" s="1" t="s">
        <v>137</v>
      </c>
      <c r="J157" s="1" t="s">
        <v>137</v>
      </c>
      <c r="K157" s="1" t="s">
        <v>137</v>
      </c>
      <c r="L157" s="1" t="s">
        <v>137</v>
      </c>
      <c r="M157" s="1">
        <v>0</v>
      </c>
      <c r="N157" s="2">
        <v>0</v>
      </c>
      <c r="P157" s="1"/>
      <c r="Q157" s="1"/>
      <c r="R157" s="1"/>
      <c r="S157" s="1"/>
      <c r="T157" s="1"/>
      <c r="U157" s="1"/>
      <c r="V157" s="1"/>
      <c r="W157" s="1"/>
      <c r="X157" s="1"/>
      <c r="Y157" s="1"/>
      <c r="Z157" s="1"/>
      <c r="AA157" s="1"/>
      <c r="AB157" s="1"/>
      <c r="AC157" s="1"/>
      <c r="AD157" s="1"/>
      <c r="AE157" s="1"/>
    </row>
    <row r="158" spans="1:31" x14ac:dyDescent="0.25">
      <c r="A158" t="str">
        <f>B158&amp;VLOOKUP(D158, Lookups!$E$2:$F$8,2,FALSE)&amp;C158</f>
        <v>NSCLCTwo Week Wait80-84</v>
      </c>
      <c r="B158" t="s">
        <v>19</v>
      </c>
      <c r="C158" t="s">
        <v>11</v>
      </c>
      <c r="D158" t="s">
        <v>31</v>
      </c>
      <c r="E158" s="1">
        <v>0.11662389506700883</v>
      </c>
      <c r="F158" s="1">
        <v>8.9535215283718272E-2</v>
      </c>
      <c r="G158" s="1">
        <v>0.29740518962075846</v>
      </c>
      <c r="H158" s="1">
        <v>7.9840319361277438E-3</v>
      </c>
      <c r="I158" s="1">
        <v>4.8474479612204162E-3</v>
      </c>
      <c r="J158" s="1">
        <v>5.9880239520958084E-2</v>
      </c>
      <c r="K158" s="1">
        <v>0.42372398061020816</v>
      </c>
      <c r="L158" s="1">
        <v>0</v>
      </c>
      <c r="M158" s="1">
        <v>1</v>
      </c>
      <c r="N158" s="2">
        <v>3507</v>
      </c>
      <c r="P158" s="1">
        <v>0.106</v>
      </c>
      <c r="Q158" s="1">
        <v>0.128</v>
      </c>
      <c r="R158" s="1">
        <v>8.1000000000000003E-2</v>
      </c>
      <c r="S158" s="1">
        <v>9.9000000000000005E-2</v>
      </c>
      <c r="T158" s="1">
        <v>0.28299999999999997</v>
      </c>
      <c r="U158" s="1">
        <v>0.313</v>
      </c>
      <c r="V158" s="1">
        <v>6.0000000000000001E-3</v>
      </c>
      <c r="W158" s="1">
        <v>1.2E-2</v>
      </c>
      <c r="X158" s="1">
        <v>3.0000000000000001E-3</v>
      </c>
      <c r="Y158" s="1">
        <v>8.0000000000000002E-3</v>
      </c>
      <c r="Z158" s="1">
        <v>5.1999999999999998E-2</v>
      </c>
      <c r="AA158" s="1">
        <v>6.8000000000000005E-2</v>
      </c>
      <c r="AB158" s="1">
        <v>0.40699999999999997</v>
      </c>
      <c r="AC158" s="1">
        <v>0.44</v>
      </c>
      <c r="AD158" s="1">
        <v>0</v>
      </c>
      <c r="AE158" s="1">
        <v>1E-3</v>
      </c>
    </row>
    <row r="159" spans="1:31" x14ac:dyDescent="0.25">
      <c r="A159" t="str">
        <f>B159&amp;VLOOKUP(D159, Lookups!$E$2:$F$8,2,FALSE)&amp;C159</f>
        <v>NSCLCGP referral80-84</v>
      </c>
      <c r="B159" t="s">
        <v>19</v>
      </c>
      <c r="C159" t="s">
        <v>11</v>
      </c>
      <c r="D159" t="s">
        <v>2</v>
      </c>
      <c r="E159" s="1">
        <v>0.12047477744807121</v>
      </c>
      <c r="F159" s="1">
        <v>5.6676557863501481E-2</v>
      </c>
      <c r="G159" s="1">
        <v>0.25727002967359053</v>
      </c>
      <c r="H159" s="1">
        <v>5.341246290801187E-3</v>
      </c>
      <c r="I159" s="1">
        <v>5.637982195845697E-3</v>
      </c>
      <c r="J159" s="1">
        <v>2.8486646884272996E-2</v>
      </c>
      <c r="K159" s="1">
        <v>0.52522255192878342</v>
      </c>
      <c r="L159" s="1">
        <v>8.9020771513353112E-4</v>
      </c>
      <c r="M159" s="1">
        <v>1</v>
      </c>
      <c r="N159" s="2">
        <v>3370</v>
      </c>
      <c r="P159" s="1">
        <v>0.11</v>
      </c>
      <c r="Q159" s="1">
        <v>0.13200000000000001</v>
      </c>
      <c r="R159" s="1">
        <v>4.9000000000000002E-2</v>
      </c>
      <c r="S159" s="1">
        <v>6.5000000000000002E-2</v>
      </c>
      <c r="T159" s="1">
        <v>0.24299999999999999</v>
      </c>
      <c r="U159" s="1">
        <v>0.27200000000000002</v>
      </c>
      <c r="V159" s="1">
        <v>3.0000000000000001E-3</v>
      </c>
      <c r="W159" s="1">
        <v>8.0000000000000002E-3</v>
      </c>
      <c r="X159" s="1">
        <v>4.0000000000000001E-3</v>
      </c>
      <c r="Y159" s="1">
        <v>8.9999999999999993E-3</v>
      </c>
      <c r="Z159" s="1">
        <v>2.3E-2</v>
      </c>
      <c r="AA159" s="1">
        <v>3.5000000000000003E-2</v>
      </c>
      <c r="AB159" s="1">
        <v>0.50800000000000001</v>
      </c>
      <c r="AC159" s="1">
        <v>0.54200000000000004</v>
      </c>
      <c r="AD159" s="1">
        <v>0</v>
      </c>
      <c r="AE159" s="1">
        <v>3.0000000000000001E-3</v>
      </c>
    </row>
    <row r="160" spans="1:31" x14ac:dyDescent="0.25">
      <c r="A160" t="str">
        <f>B160&amp;VLOOKUP(D160, Lookups!$E$2:$F$8,2,FALSE)&amp;C160</f>
        <v>NSCLCIP &amp; OP80-84</v>
      </c>
      <c r="B160" t="s">
        <v>19</v>
      </c>
      <c r="C160" t="s">
        <v>11</v>
      </c>
      <c r="D160" t="s">
        <v>32</v>
      </c>
      <c r="E160" s="1">
        <v>0.17982456140350878</v>
      </c>
      <c r="F160" s="1">
        <v>5.5764411027568919E-2</v>
      </c>
      <c r="G160" s="1">
        <v>0.22994987468671679</v>
      </c>
      <c r="H160" s="1">
        <v>6.8922305764411024E-3</v>
      </c>
      <c r="I160" s="1">
        <v>4.3859649122807015E-3</v>
      </c>
      <c r="J160" s="1">
        <v>2.6315789473684209E-2</v>
      </c>
      <c r="K160" s="1">
        <v>0.49561403508771928</v>
      </c>
      <c r="L160" s="1">
        <v>1.2531328320802004E-3</v>
      </c>
      <c r="M160" s="1">
        <v>1</v>
      </c>
      <c r="N160" s="2">
        <v>1596</v>
      </c>
      <c r="P160" s="1">
        <v>0.16200000000000001</v>
      </c>
      <c r="Q160" s="1">
        <v>0.19900000000000001</v>
      </c>
      <c r="R160" s="1">
        <v>4.5999999999999999E-2</v>
      </c>
      <c r="S160" s="1">
        <v>6.8000000000000005E-2</v>
      </c>
      <c r="T160" s="1">
        <v>0.21</v>
      </c>
      <c r="U160" s="1">
        <v>0.251</v>
      </c>
      <c r="V160" s="1">
        <v>4.0000000000000001E-3</v>
      </c>
      <c r="W160" s="1">
        <v>1.2E-2</v>
      </c>
      <c r="X160" s="1">
        <v>2E-3</v>
      </c>
      <c r="Y160" s="1">
        <v>8.9999999999999993E-3</v>
      </c>
      <c r="Z160" s="1">
        <v>0.02</v>
      </c>
      <c r="AA160" s="1">
        <v>3.5000000000000003E-2</v>
      </c>
      <c r="AB160" s="1">
        <v>0.47099999999999997</v>
      </c>
      <c r="AC160" s="1">
        <v>0.52</v>
      </c>
      <c r="AD160" s="1">
        <v>0</v>
      </c>
      <c r="AE160" s="1">
        <v>5.0000000000000001E-3</v>
      </c>
    </row>
    <row r="161" spans="1:31" x14ac:dyDescent="0.25">
      <c r="A161" t="str">
        <f>B161&amp;VLOOKUP(D161, Lookups!$E$2:$F$8,2,FALSE)&amp;C161</f>
        <v>NSCLCEmergency presentation80-84</v>
      </c>
      <c r="B161" t="s">
        <v>19</v>
      </c>
      <c r="C161" t="s">
        <v>11</v>
      </c>
      <c r="D161" t="s">
        <v>33</v>
      </c>
      <c r="E161" s="1">
        <v>1.6628251564043465E-2</v>
      </c>
      <c r="F161" s="1">
        <v>2.057951926243003E-2</v>
      </c>
      <c r="G161" s="1">
        <v>0.1182087586433981</v>
      </c>
      <c r="H161" s="1">
        <v>3.2927230819888045E-4</v>
      </c>
      <c r="I161" s="1">
        <v>8.2318077049720116E-4</v>
      </c>
      <c r="J161" s="1">
        <v>8.0671715508725712E-3</v>
      </c>
      <c r="K161" s="1">
        <v>0.83470530128416198</v>
      </c>
      <c r="L161" s="1">
        <v>6.5854461639776091E-4</v>
      </c>
      <c r="M161" s="1">
        <v>1</v>
      </c>
      <c r="N161" s="2">
        <v>6074</v>
      </c>
      <c r="P161" s="1">
        <v>1.4E-2</v>
      </c>
      <c r="Q161" s="1">
        <v>0.02</v>
      </c>
      <c r="R161" s="1">
        <v>1.7000000000000001E-2</v>
      </c>
      <c r="S161" s="1">
        <v>2.4E-2</v>
      </c>
      <c r="T161" s="1">
        <v>0.11</v>
      </c>
      <c r="U161" s="1">
        <v>0.127</v>
      </c>
      <c r="V161" s="1">
        <v>0</v>
      </c>
      <c r="W161" s="1">
        <v>1E-3</v>
      </c>
      <c r="X161" s="1">
        <v>0</v>
      </c>
      <c r="Y161" s="1">
        <v>2E-3</v>
      </c>
      <c r="Z161" s="1">
        <v>6.0000000000000001E-3</v>
      </c>
      <c r="AA161" s="1">
        <v>1.0999999999999999E-2</v>
      </c>
      <c r="AB161" s="1">
        <v>0.82499999999999996</v>
      </c>
      <c r="AC161" s="1">
        <v>0.84399999999999997</v>
      </c>
      <c r="AD161" s="1">
        <v>0</v>
      </c>
      <c r="AE161" s="1">
        <v>2E-3</v>
      </c>
    </row>
    <row r="162" spans="1:31" x14ac:dyDescent="0.25">
      <c r="A162" t="str">
        <f>B162&amp;VLOOKUP(D162, Lookups!$E$2:$F$8,2,FALSE)&amp;C162</f>
        <v>NSCLCUnknown80-84</v>
      </c>
      <c r="B162" t="s">
        <v>19</v>
      </c>
      <c r="C162" t="s">
        <v>11</v>
      </c>
      <c r="D162" t="s">
        <v>4</v>
      </c>
      <c r="E162" s="1">
        <v>2.7548209366391185E-2</v>
      </c>
      <c r="F162" s="1">
        <v>1.928374655647383E-2</v>
      </c>
      <c r="G162" s="1">
        <v>7.7134986225895319E-2</v>
      </c>
      <c r="H162" s="1">
        <v>2.7548209366391185E-3</v>
      </c>
      <c r="I162" s="1">
        <v>0</v>
      </c>
      <c r="J162" s="1">
        <v>2.7548209366391185E-3</v>
      </c>
      <c r="K162" s="1">
        <v>0.87052341597796146</v>
      </c>
      <c r="L162" s="1">
        <v>0</v>
      </c>
      <c r="M162" s="1">
        <v>1</v>
      </c>
      <c r="N162" s="2">
        <v>363</v>
      </c>
      <c r="P162" s="1">
        <v>1.4999999999999999E-2</v>
      </c>
      <c r="Q162" s="1">
        <v>0.05</v>
      </c>
      <c r="R162" s="1">
        <v>8.9999999999999993E-3</v>
      </c>
      <c r="S162" s="1">
        <v>3.9E-2</v>
      </c>
      <c r="T162" s="1">
        <v>5.3999999999999999E-2</v>
      </c>
      <c r="U162" s="1">
        <v>0.109</v>
      </c>
      <c r="V162" s="1">
        <v>0</v>
      </c>
      <c r="W162" s="1">
        <v>1.4999999999999999E-2</v>
      </c>
      <c r="X162" s="1">
        <v>0</v>
      </c>
      <c r="Y162" s="1">
        <v>0.01</v>
      </c>
      <c r="Z162" s="1">
        <v>0</v>
      </c>
      <c r="AA162" s="1">
        <v>1.4999999999999999E-2</v>
      </c>
      <c r="AB162" s="1">
        <v>0.83199999999999996</v>
      </c>
      <c r="AC162" s="1">
        <v>0.90100000000000002</v>
      </c>
      <c r="AD162" s="1">
        <v>0</v>
      </c>
      <c r="AE162" s="1">
        <v>0.01</v>
      </c>
    </row>
    <row r="163" spans="1:31" x14ac:dyDescent="0.25">
      <c r="A163" t="str">
        <f>B163&amp;VLOOKUP(D163, Lookups!$E$2:$F$8,2,FALSE)&amp;C163</f>
        <v>NSCLCAll Routes80-84</v>
      </c>
      <c r="B163" t="s">
        <v>19</v>
      </c>
      <c r="C163" t="s">
        <v>11</v>
      </c>
      <c r="D163" t="s">
        <v>34</v>
      </c>
      <c r="E163" s="1">
        <v>8.1354795439302477E-2</v>
      </c>
      <c r="F163" s="1">
        <v>4.8692152917505033E-2</v>
      </c>
      <c r="G163" s="1">
        <v>0.20274983232729712</v>
      </c>
      <c r="H163" s="1">
        <v>4.0241448692152921E-3</v>
      </c>
      <c r="I163" s="1">
        <v>3.2193158953722333E-3</v>
      </c>
      <c r="J163" s="1">
        <v>2.6693494299128102E-2</v>
      </c>
      <c r="K163" s="1">
        <v>0.63266264252179749</v>
      </c>
      <c r="L163" s="1">
        <v>6.0362173038229375E-4</v>
      </c>
      <c r="M163" s="1">
        <v>1</v>
      </c>
      <c r="N163" s="2">
        <v>14910</v>
      </c>
      <c r="P163" s="1">
        <v>7.6999999999999999E-2</v>
      </c>
      <c r="Q163" s="1">
        <v>8.5999999999999993E-2</v>
      </c>
      <c r="R163" s="1">
        <v>4.4999999999999998E-2</v>
      </c>
      <c r="S163" s="1">
        <v>5.1999999999999998E-2</v>
      </c>
      <c r="T163" s="1">
        <v>0.19600000000000001</v>
      </c>
      <c r="U163" s="1">
        <v>0.20899999999999999</v>
      </c>
      <c r="V163" s="1">
        <v>3.0000000000000001E-3</v>
      </c>
      <c r="W163" s="1">
        <v>5.0000000000000001E-3</v>
      </c>
      <c r="X163" s="1">
        <v>2E-3</v>
      </c>
      <c r="Y163" s="1">
        <v>4.0000000000000001E-3</v>
      </c>
      <c r="Z163" s="1">
        <v>2.4E-2</v>
      </c>
      <c r="AA163" s="1">
        <v>2.9000000000000001E-2</v>
      </c>
      <c r="AB163" s="1">
        <v>0.625</v>
      </c>
      <c r="AC163" s="1">
        <v>0.64</v>
      </c>
      <c r="AD163" s="1">
        <v>0</v>
      </c>
      <c r="AE163" s="1">
        <v>1E-3</v>
      </c>
    </row>
    <row r="164" spans="1:31" x14ac:dyDescent="0.25">
      <c r="A164" t="str">
        <f>B164&amp;VLOOKUP(D164, Lookups!$E$2:$F$8,2,FALSE)&amp;C164</f>
        <v>NSCLCScreen detected85+</v>
      </c>
      <c r="B164" t="s">
        <v>19</v>
      </c>
      <c r="C164" t="s">
        <v>12</v>
      </c>
      <c r="D164" t="s">
        <v>30</v>
      </c>
      <c r="E164" s="1" t="s">
        <v>137</v>
      </c>
      <c r="F164" s="1" t="s">
        <v>137</v>
      </c>
      <c r="G164" s="1" t="s">
        <v>137</v>
      </c>
      <c r="H164" s="1" t="s">
        <v>137</v>
      </c>
      <c r="I164" s="1" t="s">
        <v>137</v>
      </c>
      <c r="J164" s="1" t="s">
        <v>137</v>
      </c>
      <c r="K164" s="1" t="s">
        <v>137</v>
      </c>
      <c r="L164" s="1" t="s">
        <v>137</v>
      </c>
      <c r="M164" s="1">
        <v>0</v>
      </c>
      <c r="N164" s="2">
        <v>0</v>
      </c>
      <c r="P164" s="1"/>
      <c r="Q164" s="1"/>
      <c r="R164" s="1"/>
      <c r="S164" s="1"/>
      <c r="T164" s="1"/>
      <c r="U164" s="1"/>
      <c r="V164" s="1"/>
      <c r="W164" s="1"/>
      <c r="X164" s="1"/>
      <c r="Y164" s="1"/>
      <c r="Z164" s="1"/>
      <c r="AA164" s="1"/>
      <c r="AB164" s="1"/>
      <c r="AC164" s="1"/>
      <c r="AD164" s="1"/>
      <c r="AE164" s="1"/>
    </row>
    <row r="165" spans="1:31" x14ac:dyDescent="0.25">
      <c r="A165" t="str">
        <f>B165&amp;VLOOKUP(D165, Lookups!$E$2:$F$8,2,FALSE)&amp;C165</f>
        <v>NSCLCTwo Week Wait85+</v>
      </c>
      <c r="B165" t="s">
        <v>19</v>
      </c>
      <c r="C165" t="s">
        <v>12</v>
      </c>
      <c r="D165" t="s">
        <v>31</v>
      </c>
      <c r="E165" s="1">
        <v>3.3008252063015754E-2</v>
      </c>
      <c r="F165" s="1">
        <v>3.3758439609902477E-2</v>
      </c>
      <c r="G165" s="1">
        <v>0.26181545386346589</v>
      </c>
      <c r="H165" s="1">
        <v>7.501875468867217E-4</v>
      </c>
      <c r="I165" s="1">
        <v>1.8754688672168042E-3</v>
      </c>
      <c r="J165" s="1">
        <v>1.2003000750187547E-2</v>
      </c>
      <c r="K165" s="1">
        <v>0.65678919729932483</v>
      </c>
      <c r="L165" s="1">
        <v>0</v>
      </c>
      <c r="M165" s="1">
        <v>1</v>
      </c>
      <c r="N165" s="2">
        <v>2666</v>
      </c>
      <c r="P165" s="1">
        <v>2.7E-2</v>
      </c>
      <c r="Q165" s="1">
        <v>0.04</v>
      </c>
      <c r="R165" s="1">
        <v>2.8000000000000001E-2</v>
      </c>
      <c r="S165" s="1">
        <v>4.1000000000000002E-2</v>
      </c>
      <c r="T165" s="1">
        <v>0.245</v>
      </c>
      <c r="U165" s="1">
        <v>0.27900000000000003</v>
      </c>
      <c r="V165" s="1">
        <v>0</v>
      </c>
      <c r="W165" s="1">
        <v>3.0000000000000001E-3</v>
      </c>
      <c r="X165" s="1">
        <v>1E-3</v>
      </c>
      <c r="Y165" s="1">
        <v>4.0000000000000001E-3</v>
      </c>
      <c r="Z165" s="1">
        <v>8.9999999999999993E-3</v>
      </c>
      <c r="AA165" s="1">
        <v>1.7000000000000001E-2</v>
      </c>
      <c r="AB165" s="1">
        <v>0.63900000000000001</v>
      </c>
      <c r="AC165" s="1">
        <v>0.67500000000000004</v>
      </c>
      <c r="AD165" s="1">
        <v>0</v>
      </c>
      <c r="AE165" s="1">
        <v>1E-3</v>
      </c>
    </row>
    <row r="166" spans="1:31" x14ac:dyDescent="0.25">
      <c r="A166" t="str">
        <f>B166&amp;VLOOKUP(D166, Lookups!$E$2:$F$8,2,FALSE)&amp;C166</f>
        <v>NSCLCGP referral85+</v>
      </c>
      <c r="B166" t="s">
        <v>19</v>
      </c>
      <c r="C166" t="s">
        <v>12</v>
      </c>
      <c r="D166" t="s">
        <v>2</v>
      </c>
      <c r="E166" s="1">
        <v>3.7658616455178061E-2</v>
      </c>
      <c r="F166" s="1">
        <v>1.882930822758903E-2</v>
      </c>
      <c r="G166" s="1">
        <v>0.19074907900122801</v>
      </c>
      <c r="H166" s="1">
        <v>1.2279983626688497E-3</v>
      </c>
      <c r="I166" s="1">
        <v>1.2279983626688497E-3</v>
      </c>
      <c r="J166" s="1">
        <v>1.0233319688907082E-2</v>
      </c>
      <c r="K166" s="1">
        <v>0.7400736799017601</v>
      </c>
      <c r="L166" s="1">
        <v>0</v>
      </c>
      <c r="M166" s="1">
        <v>1</v>
      </c>
      <c r="N166" s="2">
        <v>2443</v>
      </c>
      <c r="P166" s="1">
        <v>3.1E-2</v>
      </c>
      <c r="Q166" s="1">
        <v>4.5999999999999999E-2</v>
      </c>
      <c r="R166" s="1">
        <v>1.4E-2</v>
      </c>
      <c r="S166" s="1">
        <v>2.5000000000000001E-2</v>
      </c>
      <c r="T166" s="1">
        <v>0.17599999999999999</v>
      </c>
      <c r="U166" s="1">
        <v>0.20699999999999999</v>
      </c>
      <c r="V166" s="1">
        <v>0</v>
      </c>
      <c r="W166" s="1">
        <v>4.0000000000000001E-3</v>
      </c>
      <c r="X166" s="1">
        <v>0</v>
      </c>
      <c r="Y166" s="1">
        <v>4.0000000000000001E-3</v>
      </c>
      <c r="Z166" s="1">
        <v>7.0000000000000001E-3</v>
      </c>
      <c r="AA166" s="1">
        <v>1.4999999999999999E-2</v>
      </c>
      <c r="AB166" s="1">
        <v>0.72199999999999998</v>
      </c>
      <c r="AC166" s="1">
        <v>0.75700000000000001</v>
      </c>
      <c r="AD166" s="1">
        <v>0</v>
      </c>
      <c r="AE166" s="1">
        <v>2E-3</v>
      </c>
    </row>
    <row r="167" spans="1:31" x14ac:dyDescent="0.25">
      <c r="A167" t="str">
        <f>B167&amp;VLOOKUP(D167, Lookups!$E$2:$F$8,2,FALSE)&amp;C167</f>
        <v>NSCLCIP &amp; OP85+</v>
      </c>
      <c r="B167" t="s">
        <v>19</v>
      </c>
      <c r="C167" t="s">
        <v>12</v>
      </c>
      <c r="D167" t="s">
        <v>32</v>
      </c>
      <c r="E167" s="1">
        <v>4.9689440993788817E-2</v>
      </c>
      <c r="F167" s="1">
        <v>2.2182786157941437E-2</v>
      </c>
      <c r="G167" s="1">
        <v>0.18101153504880213</v>
      </c>
      <c r="H167" s="1">
        <v>0</v>
      </c>
      <c r="I167" s="1">
        <v>8.8731144631765753E-4</v>
      </c>
      <c r="J167" s="1">
        <v>7.9858030168589167E-3</v>
      </c>
      <c r="K167" s="1">
        <v>0.73824312333629105</v>
      </c>
      <c r="L167" s="1">
        <v>0</v>
      </c>
      <c r="M167" s="1">
        <v>1</v>
      </c>
      <c r="N167" s="2">
        <v>1127</v>
      </c>
      <c r="P167" s="1">
        <v>3.7999999999999999E-2</v>
      </c>
      <c r="Q167" s="1">
        <v>6.4000000000000001E-2</v>
      </c>
      <c r="R167" s="1">
        <v>1.4999999999999999E-2</v>
      </c>
      <c r="S167" s="1">
        <v>3.3000000000000002E-2</v>
      </c>
      <c r="T167" s="1">
        <v>0.16</v>
      </c>
      <c r="U167" s="1">
        <v>0.20499999999999999</v>
      </c>
      <c r="V167" s="1">
        <v>0</v>
      </c>
      <c r="W167" s="1">
        <v>3.0000000000000001E-3</v>
      </c>
      <c r="X167" s="1">
        <v>0</v>
      </c>
      <c r="Y167" s="1">
        <v>5.0000000000000001E-3</v>
      </c>
      <c r="Z167" s="1">
        <v>4.0000000000000001E-3</v>
      </c>
      <c r="AA167" s="1">
        <v>1.4999999999999999E-2</v>
      </c>
      <c r="AB167" s="1">
        <v>0.71199999999999997</v>
      </c>
      <c r="AC167" s="1">
        <v>0.76300000000000001</v>
      </c>
      <c r="AD167" s="1">
        <v>0</v>
      </c>
      <c r="AE167" s="1">
        <v>3.0000000000000001E-3</v>
      </c>
    </row>
    <row r="168" spans="1:31" x14ac:dyDescent="0.25">
      <c r="A168" t="str">
        <f>B168&amp;VLOOKUP(D168, Lookups!$E$2:$F$8,2,FALSE)&amp;C168</f>
        <v>NSCLCEmergency presentation85+</v>
      </c>
      <c r="B168" t="s">
        <v>19</v>
      </c>
      <c r="C168" t="s">
        <v>12</v>
      </c>
      <c r="D168" t="s">
        <v>33</v>
      </c>
      <c r="E168" s="1">
        <v>3.9426994348797477E-3</v>
      </c>
      <c r="F168" s="1">
        <v>5.7826258378236295E-3</v>
      </c>
      <c r="G168" s="1">
        <v>6.3740307530555915E-2</v>
      </c>
      <c r="H168" s="1">
        <v>0</v>
      </c>
      <c r="I168" s="1">
        <v>1.3142331449599159E-4</v>
      </c>
      <c r="J168" s="1">
        <v>1.314233144959916E-3</v>
      </c>
      <c r="K168" s="1">
        <v>0.92508871073728483</v>
      </c>
      <c r="L168" s="1">
        <v>0</v>
      </c>
      <c r="M168" s="1">
        <v>1</v>
      </c>
      <c r="N168" s="2">
        <v>7609</v>
      </c>
      <c r="P168" s="1">
        <v>3.0000000000000001E-3</v>
      </c>
      <c r="Q168" s="1">
        <v>6.0000000000000001E-3</v>
      </c>
      <c r="R168" s="1">
        <v>4.0000000000000001E-3</v>
      </c>
      <c r="S168" s="1">
        <v>8.0000000000000002E-3</v>
      </c>
      <c r="T168" s="1">
        <v>5.8000000000000003E-2</v>
      </c>
      <c r="U168" s="1">
        <v>6.9000000000000006E-2</v>
      </c>
      <c r="V168" s="1">
        <v>0</v>
      </c>
      <c r="W168" s="1">
        <v>1E-3</v>
      </c>
      <c r="X168" s="1">
        <v>0</v>
      </c>
      <c r="Y168" s="1">
        <v>1E-3</v>
      </c>
      <c r="Z168" s="1">
        <v>1E-3</v>
      </c>
      <c r="AA168" s="1">
        <v>2E-3</v>
      </c>
      <c r="AB168" s="1">
        <v>0.91900000000000004</v>
      </c>
      <c r="AC168" s="1">
        <v>0.93100000000000005</v>
      </c>
      <c r="AD168" s="1">
        <v>0</v>
      </c>
      <c r="AE168" s="1">
        <v>1E-3</v>
      </c>
    </row>
    <row r="169" spans="1:31" x14ac:dyDescent="0.25">
      <c r="A169" t="str">
        <f>B169&amp;VLOOKUP(D169, Lookups!$E$2:$F$8,2,FALSE)&amp;C169</f>
        <v>NSCLCUnknown85+</v>
      </c>
      <c r="B169" t="s">
        <v>19</v>
      </c>
      <c r="C169" t="s">
        <v>12</v>
      </c>
      <c r="D169" t="s">
        <v>4</v>
      </c>
      <c r="E169" s="1">
        <v>4.7846889952153108E-3</v>
      </c>
      <c r="F169" s="1">
        <v>1.1961722488038277E-2</v>
      </c>
      <c r="G169" s="1">
        <v>6.6985645933014357E-2</v>
      </c>
      <c r="H169" s="1">
        <v>0</v>
      </c>
      <c r="I169" s="1">
        <v>0</v>
      </c>
      <c r="J169" s="1">
        <v>0</v>
      </c>
      <c r="K169" s="1">
        <v>0.91626794258373201</v>
      </c>
      <c r="L169" s="1">
        <v>0</v>
      </c>
      <c r="M169" s="1">
        <v>1</v>
      </c>
      <c r="N169" s="2">
        <v>418</v>
      </c>
      <c r="P169" s="1">
        <v>1E-3</v>
      </c>
      <c r="Q169" s="1">
        <v>1.7000000000000001E-2</v>
      </c>
      <c r="R169" s="1">
        <v>5.0000000000000001E-3</v>
      </c>
      <c r="S169" s="1">
        <v>2.8000000000000001E-2</v>
      </c>
      <c r="T169" s="1">
        <v>4.7E-2</v>
      </c>
      <c r="U169" s="1">
        <v>9.5000000000000001E-2</v>
      </c>
      <c r="V169" s="1">
        <v>0</v>
      </c>
      <c r="W169" s="1">
        <v>8.9999999999999993E-3</v>
      </c>
      <c r="X169" s="1">
        <v>0</v>
      </c>
      <c r="Y169" s="1">
        <v>8.9999999999999993E-3</v>
      </c>
      <c r="Z169" s="1">
        <v>0</v>
      </c>
      <c r="AA169" s="1">
        <v>8.9999999999999993E-3</v>
      </c>
      <c r="AB169" s="1">
        <v>0.88600000000000001</v>
      </c>
      <c r="AC169" s="1">
        <v>0.93899999999999995</v>
      </c>
      <c r="AD169" s="1">
        <v>0</v>
      </c>
      <c r="AE169" s="1">
        <v>8.9999999999999993E-3</v>
      </c>
    </row>
    <row r="170" spans="1:31" x14ac:dyDescent="0.25">
      <c r="A170" t="str">
        <f>B170&amp;VLOOKUP(D170, Lookups!$E$2:$F$8,2,FALSE)&amp;C170</f>
        <v>NSCLCAll Routes85+</v>
      </c>
      <c r="B170" t="s">
        <v>19</v>
      </c>
      <c r="C170" t="s">
        <v>12</v>
      </c>
      <c r="D170" t="s">
        <v>34</v>
      </c>
      <c r="E170" s="1">
        <v>1.8789875902685271E-2</v>
      </c>
      <c r="F170" s="1">
        <v>1.4723410222253383E-2</v>
      </c>
      <c r="G170" s="1">
        <v>0.13187968870504102</v>
      </c>
      <c r="H170" s="1">
        <v>3.5055738624412814E-4</v>
      </c>
      <c r="I170" s="1">
        <v>7.0111477248825627E-4</v>
      </c>
      <c r="J170" s="1">
        <v>5.3284722709107477E-3</v>
      </c>
      <c r="K170" s="1">
        <v>0.8282268807403772</v>
      </c>
      <c r="L170" s="1">
        <v>0</v>
      </c>
      <c r="M170" s="1">
        <v>1</v>
      </c>
      <c r="N170" s="2">
        <v>14263</v>
      </c>
      <c r="P170" s="1">
        <v>1.7000000000000001E-2</v>
      </c>
      <c r="Q170" s="1">
        <v>2.1000000000000001E-2</v>
      </c>
      <c r="R170" s="1">
        <v>1.2999999999999999E-2</v>
      </c>
      <c r="S170" s="1">
        <v>1.7000000000000001E-2</v>
      </c>
      <c r="T170" s="1">
        <v>0.126</v>
      </c>
      <c r="U170" s="1">
        <v>0.13800000000000001</v>
      </c>
      <c r="V170" s="1">
        <v>0</v>
      </c>
      <c r="W170" s="1">
        <v>1E-3</v>
      </c>
      <c r="X170" s="1">
        <v>0</v>
      </c>
      <c r="Y170" s="1">
        <v>1E-3</v>
      </c>
      <c r="Z170" s="1">
        <v>4.0000000000000001E-3</v>
      </c>
      <c r="AA170" s="1">
        <v>7.0000000000000001E-3</v>
      </c>
      <c r="AB170" s="1">
        <v>0.82199999999999995</v>
      </c>
      <c r="AC170" s="1">
        <v>0.83399999999999996</v>
      </c>
      <c r="AD170" s="1">
        <v>0</v>
      </c>
      <c r="AE170" s="1">
        <v>0</v>
      </c>
    </row>
    <row r="171" spans="1:31" x14ac:dyDescent="0.25">
      <c r="A171" t="str">
        <f>B171&amp;VLOOKUP(D171, Lookups!$E$2:$F$8,2,FALSE)&amp;C171</f>
        <v>SCLCScreen detectedUnder 50</v>
      </c>
      <c r="B171" t="s">
        <v>20</v>
      </c>
      <c r="C171" t="s">
        <v>7</v>
      </c>
      <c r="D171" t="s">
        <v>30</v>
      </c>
      <c r="E171" s="1" t="s">
        <v>137</v>
      </c>
      <c r="F171" s="1" t="s">
        <v>137</v>
      </c>
      <c r="G171" s="1" t="s">
        <v>137</v>
      </c>
      <c r="H171" s="1" t="s">
        <v>137</v>
      </c>
      <c r="I171" s="1" t="s">
        <v>137</v>
      </c>
      <c r="J171" s="1" t="s">
        <v>137</v>
      </c>
      <c r="K171" s="1" t="s">
        <v>137</v>
      </c>
      <c r="L171" s="1" t="s">
        <v>137</v>
      </c>
      <c r="M171" s="1">
        <v>0</v>
      </c>
      <c r="N171" s="2">
        <v>0</v>
      </c>
      <c r="P171" s="1"/>
      <c r="Q171" s="1"/>
      <c r="R171" s="1"/>
      <c r="S171" s="1"/>
      <c r="T171" s="1"/>
      <c r="U171" s="1"/>
      <c r="V171" s="1"/>
      <c r="W171" s="1"/>
      <c r="X171" s="1"/>
      <c r="Y171" s="1"/>
      <c r="Z171" s="1"/>
      <c r="AA171" s="1"/>
      <c r="AB171" s="1"/>
      <c r="AC171" s="1"/>
      <c r="AD171" s="1"/>
      <c r="AE171" s="1"/>
    </row>
    <row r="172" spans="1:31" x14ac:dyDescent="0.25">
      <c r="A172" t="str">
        <f>B172&amp;VLOOKUP(D172, Lookups!$E$2:$F$8,2,FALSE)&amp;C172</f>
        <v>SCLCTwo Week WaitUnder 50</v>
      </c>
      <c r="B172" t="s">
        <v>20</v>
      </c>
      <c r="C172" t="s">
        <v>7</v>
      </c>
      <c r="D172" t="s">
        <v>31</v>
      </c>
      <c r="E172" s="1">
        <v>0</v>
      </c>
      <c r="F172" s="1">
        <v>0.28846153846153844</v>
      </c>
      <c r="G172" s="1">
        <v>9.6153846153846159E-3</v>
      </c>
      <c r="H172" s="1">
        <v>9.6153846153846159E-3</v>
      </c>
      <c r="I172" s="1">
        <v>0</v>
      </c>
      <c r="J172" s="1">
        <v>0.66346153846153844</v>
      </c>
      <c r="K172" s="1">
        <v>1.9230769230769232E-2</v>
      </c>
      <c r="L172" s="1">
        <v>9.6153846153846159E-3</v>
      </c>
      <c r="M172" s="1">
        <v>1</v>
      </c>
      <c r="N172" s="2">
        <v>104</v>
      </c>
      <c r="P172" s="1">
        <v>0</v>
      </c>
      <c r="Q172" s="1">
        <v>3.5999999999999997E-2</v>
      </c>
      <c r="R172" s="1">
        <v>0.21</v>
      </c>
      <c r="S172" s="1">
        <v>0.38200000000000001</v>
      </c>
      <c r="T172" s="1">
        <v>2E-3</v>
      </c>
      <c r="U172" s="1">
        <v>5.1999999999999998E-2</v>
      </c>
      <c r="V172" s="1">
        <v>2E-3</v>
      </c>
      <c r="W172" s="1">
        <v>5.1999999999999998E-2</v>
      </c>
      <c r="X172" s="1">
        <v>0</v>
      </c>
      <c r="Y172" s="1">
        <v>3.5999999999999997E-2</v>
      </c>
      <c r="Z172" s="1">
        <v>0.56799999999999995</v>
      </c>
      <c r="AA172" s="1">
        <v>0.747</v>
      </c>
      <c r="AB172" s="1">
        <v>5.0000000000000001E-3</v>
      </c>
      <c r="AC172" s="1">
        <v>6.7000000000000004E-2</v>
      </c>
      <c r="AD172" s="1">
        <v>2E-3</v>
      </c>
      <c r="AE172" s="1">
        <v>5.1999999999999998E-2</v>
      </c>
    </row>
    <row r="173" spans="1:31" x14ac:dyDescent="0.25">
      <c r="A173" t="str">
        <f>B173&amp;VLOOKUP(D173, Lookups!$E$2:$F$8,2,FALSE)&amp;C173</f>
        <v>SCLCGP referralUnder 50</v>
      </c>
      <c r="B173" t="s">
        <v>20</v>
      </c>
      <c r="C173" t="s">
        <v>7</v>
      </c>
      <c r="D173" t="s">
        <v>2</v>
      </c>
      <c r="E173" s="1">
        <v>0</v>
      </c>
      <c r="F173" s="1">
        <v>0.20338983050847459</v>
      </c>
      <c r="G173" s="1">
        <v>3.3898305084745763E-2</v>
      </c>
      <c r="H173" s="1">
        <v>0</v>
      </c>
      <c r="I173" s="1">
        <v>0</v>
      </c>
      <c r="J173" s="1">
        <v>0.57627118644067798</v>
      </c>
      <c r="K173" s="1">
        <v>0.1864406779661017</v>
      </c>
      <c r="L173" s="1">
        <v>0</v>
      </c>
      <c r="M173" s="1">
        <v>1</v>
      </c>
      <c r="N173" s="2">
        <v>59</v>
      </c>
      <c r="P173" s="1">
        <v>0</v>
      </c>
      <c r="Q173" s="1">
        <v>6.0999999999999999E-2</v>
      </c>
      <c r="R173" s="1">
        <v>0.12</v>
      </c>
      <c r="S173" s="1">
        <v>0.32300000000000001</v>
      </c>
      <c r="T173" s="1">
        <v>8.9999999999999993E-3</v>
      </c>
      <c r="U173" s="1">
        <v>0.115</v>
      </c>
      <c r="V173" s="1">
        <v>0</v>
      </c>
      <c r="W173" s="1">
        <v>6.0999999999999999E-2</v>
      </c>
      <c r="X173" s="1">
        <v>0</v>
      </c>
      <c r="Y173" s="1">
        <v>6.0999999999999999E-2</v>
      </c>
      <c r="Z173" s="1">
        <v>0.44900000000000001</v>
      </c>
      <c r="AA173" s="1">
        <v>0.69399999999999995</v>
      </c>
      <c r="AB173" s="1">
        <v>0.107</v>
      </c>
      <c r="AC173" s="1">
        <v>0.30399999999999999</v>
      </c>
      <c r="AD173" s="1">
        <v>0</v>
      </c>
      <c r="AE173" s="1">
        <v>6.0999999999999999E-2</v>
      </c>
    </row>
    <row r="174" spans="1:31" x14ac:dyDescent="0.25">
      <c r="A174" t="str">
        <f>B174&amp;VLOOKUP(D174, Lookups!$E$2:$F$8,2,FALSE)&amp;C174</f>
        <v>SCLCIP &amp; OPUnder 50</v>
      </c>
      <c r="B174" t="s">
        <v>20</v>
      </c>
      <c r="C174" t="s">
        <v>7</v>
      </c>
      <c r="D174" t="s">
        <v>32</v>
      </c>
      <c r="E174" s="1">
        <v>0</v>
      </c>
      <c r="F174" s="1">
        <v>0.20930232558139536</v>
      </c>
      <c r="G174" s="1">
        <v>0</v>
      </c>
      <c r="H174" s="1">
        <v>0</v>
      </c>
      <c r="I174" s="1">
        <v>0</v>
      </c>
      <c r="J174" s="1">
        <v>0.67441860465116277</v>
      </c>
      <c r="K174" s="1">
        <v>0.11627906976744186</v>
      </c>
      <c r="L174" s="1">
        <v>0</v>
      </c>
      <c r="M174" s="1">
        <v>1</v>
      </c>
      <c r="N174" s="2">
        <v>43</v>
      </c>
      <c r="P174" s="1">
        <v>0</v>
      </c>
      <c r="Q174" s="1">
        <v>8.2000000000000003E-2</v>
      </c>
      <c r="R174" s="1">
        <v>0.114</v>
      </c>
      <c r="S174" s="1">
        <v>0.35199999999999998</v>
      </c>
      <c r="T174" s="1">
        <v>0</v>
      </c>
      <c r="U174" s="1">
        <v>8.2000000000000003E-2</v>
      </c>
      <c r="V174" s="1">
        <v>0</v>
      </c>
      <c r="W174" s="1">
        <v>8.2000000000000003E-2</v>
      </c>
      <c r="X174" s="1">
        <v>0</v>
      </c>
      <c r="Y174" s="1">
        <v>8.2000000000000003E-2</v>
      </c>
      <c r="Z174" s="1">
        <v>0.52500000000000002</v>
      </c>
      <c r="AA174" s="1">
        <v>0.79500000000000004</v>
      </c>
      <c r="AB174" s="1">
        <v>5.0999999999999997E-2</v>
      </c>
      <c r="AC174" s="1">
        <v>0.245</v>
      </c>
      <c r="AD174" s="1">
        <v>0</v>
      </c>
      <c r="AE174" s="1">
        <v>8.2000000000000003E-2</v>
      </c>
    </row>
    <row r="175" spans="1:31" x14ac:dyDescent="0.25">
      <c r="A175" t="str">
        <f>B175&amp;VLOOKUP(D175, Lookups!$E$2:$F$8,2,FALSE)&amp;C175</f>
        <v>SCLCEmergency presentationUnder 50</v>
      </c>
      <c r="B175" t="s">
        <v>20</v>
      </c>
      <c r="C175" t="s">
        <v>7</v>
      </c>
      <c r="D175" t="s">
        <v>33</v>
      </c>
      <c r="E175" s="1">
        <v>8.0000000000000002E-3</v>
      </c>
      <c r="F175" s="1">
        <v>0.33600000000000002</v>
      </c>
      <c r="G175" s="1">
        <v>0.04</v>
      </c>
      <c r="H175" s="1">
        <v>0</v>
      </c>
      <c r="I175" s="1">
        <v>0</v>
      </c>
      <c r="J175" s="1">
        <v>0.44</v>
      </c>
      <c r="K175" s="1">
        <v>0.16800000000000001</v>
      </c>
      <c r="L175" s="1">
        <v>8.0000000000000002E-3</v>
      </c>
      <c r="M175" s="1">
        <v>1</v>
      </c>
      <c r="N175" s="2">
        <v>125</v>
      </c>
      <c r="P175" s="1">
        <v>1E-3</v>
      </c>
      <c r="Q175" s="1">
        <v>4.3999999999999997E-2</v>
      </c>
      <c r="R175" s="1">
        <v>0.25900000000000001</v>
      </c>
      <c r="S175" s="1">
        <v>0.42299999999999999</v>
      </c>
      <c r="T175" s="1">
        <v>1.7000000000000001E-2</v>
      </c>
      <c r="U175" s="1">
        <v>0.09</v>
      </c>
      <c r="V175" s="1">
        <v>0</v>
      </c>
      <c r="W175" s="1">
        <v>0.03</v>
      </c>
      <c r="X175" s="1">
        <v>0</v>
      </c>
      <c r="Y175" s="1">
        <v>0.03</v>
      </c>
      <c r="Z175" s="1">
        <v>0.35599999999999998</v>
      </c>
      <c r="AA175" s="1">
        <v>0.52800000000000002</v>
      </c>
      <c r="AB175" s="1">
        <v>0.113</v>
      </c>
      <c r="AC175" s="1">
        <v>0.24299999999999999</v>
      </c>
      <c r="AD175" s="1">
        <v>1E-3</v>
      </c>
      <c r="AE175" s="1">
        <v>4.3999999999999997E-2</v>
      </c>
    </row>
    <row r="176" spans="1:31" x14ac:dyDescent="0.25">
      <c r="A176" t="str">
        <f>B176&amp;VLOOKUP(D176, Lookups!$E$2:$F$8,2,FALSE)&amp;C176</f>
        <v>SCLCUnknownUnder 50</v>
      </c>
      <c r="B176" t="s">
        <v>20</v>
      </c>
      <c r="C176" t="s">
        <v>7</v>
      </c>
      <c r="D176" t="s">
        <v>4</v>
      </c>
      <c r="E176" s="1">
        <v>0</v>
      </c>
      <c r="F176" s="1">
        <v>0.66666666666666663</v>
      </c>
      <c r="G176" s="1">
        <v>0</v>
      </c>
      <c r="H176" s="1">
        <v>0</v>
      </c>
      <c r="I176" s="1" t="s">
        <v>137</v>
      </c>
      <c r="J176" s="1">
        <v>0.16666666666666666</v>
      </c>
      <c r="K176" s="1">
        <v>0.16666666666666666</v>
      </c>
      <c r="L176" s="1" t="s">
        <v>137</v>
      </c>
      <c r="M176" s="1">
        <v>0.99999999999999989</v>
      </c>
      <c r="N176" s="2">
        <v>6</v>
      </c>
      <c r="P176" s="1">
        <v>0</v>
      </c>
      <c r="Q176" s="1">
        <v>0.39</v>
      </c>
      <c r="R176" s="1">
        <v>0.3</v>
      </c>
      <c r="S176" s="1">
        <v>0.90300000000000002</v>
      </c>
      <c r="T176" s="1">
        <v>0</v>
      </c>
      <c r="U176" s="1">
        <v>0.39</v>
      </c>
      <c r="V176" s="1">
        <v>0</v>
      </c>
      <c r="W176" s="1">
        <v>0.39</v>
      </c>
      <c r="X176" s="1"/>
      <c r="Y176" s="1"/>
      <c r="Z176" s="1">
        <v>0.03</v>
      </c>
      <c r="AA176" s="1">
        <v>0.56399999999999995</v>
      </c>
      <c r="AB176" s="1">
        <v>0.03</v>
      </c>
      <c r="AC176" s="1">
        <v>0.56399999999999995</v>
      </c>
      <c r="AD176" s="1"/>
      <c r="AE176" s="1"/>
    </row>
    <row r="177" spans="1:31" x14ac:dyDescent="0.25">
      <c r="A177" t="str">
        <f>B177&amp;VLOOKUP(D177, Lookups!$E$2:$F$8,2,FALSE)&amp;C177</f>
        <v>SCLCAll RoutesUnder 50</v>
      </c>
      <c r="B177" t="s">
        <v>20</v>
      </c>
      <c r="C177" t="s">
        <v>7</v>
      </c>
      <c r="D177" t="s">
        <v>34</v>
      </c>
      <c r="E177" s="1">
        <v>2.967359050445104E-3</v>
      </c>
      <c r="F177" s="1">
        <v>0.28783382789317508</v>
      </c>
      <c r="G177" s="1">
        <v>2.3738872403560832E-2</v>
      </c>
      <c r="H177" s="1">
        <v>2.967359050445104E-3</v>
      </c>
      <c r="I177" s="1">
        <v>0</v>
      </c>
      <c r="J177" s="1">
        <v>0.55786350148367958</v>
      </c>
      <c r="K177" s="1">
        <v>0.11869436201780416</v>
      </c>
      <c r="L177" s="1">
        <v>5.9347181008902079E-3</v>
      </c>
      <c r="M177" s="1">
        <v>1</v>
      </c>
      <c r="N177" s="2">
        <v>337</v>
      </c>
      <c r="P177" s="1">
        <v>1E-3</v>
      </c>
      <c r="Q177" s="1">
        <v>1.7000000000000001E-2</v>
      </c>
      <c r="R177" s="1">
        <v>0.24199999999999999</v>
      </c>
      <c r="S177" s="1">
        <v>0.33800000000000002</v>
      </c>
      <c r="T177" s="1">
        <v>1.2E-2</v>
      </c>
      <c r="U177" s="1">
        <v>4.5999999999999999E-2</v>
      </c>
      <c r="V177" s="1">
        <v>1E-3</v>
      </c>
      <c r="W177" s="1">
        <v>1.7000000000000001E-2</v>
      </c>
      <c r="X177" s="1">
        <v>0</v>
      </c>
      <c r="Y177" s="1">
        <v>1.0999999999999999E-2</v>
      </c>
      <c r="Z177" s="1">
        <v>0.504</v>
      </c>
      <c r="AA177" s="1">
        <v>0.61</v>
      </c>
      <c r="AB177" s="1">
        <v>8.7999999999999995E-2</v>
      </c>
      <c r="AC177" s="1">
        <v>0.158</v>
      </c>
      <c r="AD177" s="1">
        <v>2E-3</v>
      </c>
      <c r="AE177" s="1">
        <v>2.1000000000000001E-2</v>
      </c>
    </row>
    <row r="178" spans="1:31" x14ac:dyDescent="0.25">
      <c r="A178" t="str">
        <f>B178&amp;VLOOKUP(D178, Lookups!$E$2:$F$8,2,FALSE)&amp;C178</f>
        <v>SCLCScreen detected50-59</v>
      </c>
      <c r="B178" t="s">
        <v>20</v>
      </c>
      <c r="C178" t="s">
        <v>8</v>
      </c>
      <c r="D178" t="s">
        <v>30</v>
      </c>
      <c r="E178" s="1" t="s">
        <v>137</v>
      </c>
      <c r="F178" s="1" t="s">
        <v>137</v>
      </c>
      <c r="G178" s="1" t="s">
        <v>137</v>
      </c>
      <c r="H178" s="1" t="s">
        <v>137</v>
      </c>
      <c r="I178" s="1" t="s">
        <v>137</v>
      </c>
      <c r="J178" s="1" t="s">
        <v>137</v>
      </c>
      <c r="K178" s="1" t="s">
        <v>137</v>
      </c>
      <c r="L178" s="1" t="s">
        <v>137</v>
      </c>
      <c r="M178" s="1">
        <v>0</v>
      </c>
      <c r="N178" s="2">
        <v>0</v>
      </c>
      <c r="P178" s="1"/>
      <c r="Q178" s="1"/>
      <c r="R178" s="1"/>
      <c r="S178" s="1"/>
      <c r="T178" s="1"/>
      <c r="U178" s="1"/>
      <c r="V178" s="1"/>
      <c r="W178" s="1"/>
      <c r="X178" s="1"/>
      <c r="Y178" s="1"/>
      <c r="Z178" s="1"/>
      <c r="AA178" s="1"/>
      <c r="AB178" s="1"/>
      <c r="AC178" s="1"/>
      <c r="AD178" s="1"/>
      <c r="AE178" s="1"/>
    </row>
    <row r="179" spans="1:31" x14ac:dyDescent="0.25">
      <c r="A179" t="str">
        <f>B179&amp;VLOOKUP(D179, Lookups!$E$2:$F$8,2,FALSE)&amp;C179</f>
        <v>SCLCTwo Week Wait50-59</v>
      </c>
      <c r="B179" t="s">
        <v>20</v>
      </c>
      <c r="C179" t="s">
        <v>8</v>
      </c>
      <c r="D179" t="s">
        <v>31</v>
      </c>
      <c r="E179" s="1">
        <v>3.8834951456310678E-3</v>
      </c>
      <c r="F179" s="1">
        <v>0.29514563106796116</v>
      </c>
      <c r="G179" s="1">
        <v>9.7087378640776691E-3</v>
      </c>
      <c r="H179" s="1">
        <v>2.524271844660194E-2</v>
      </c>
      <c r="I179" s="1">
        <v>0</v>
      </c>
      <c r="J179" s="1">
        <v>0.62718446601941746</v>
      </c>
      <c r="K179" s="1">
        <v>3.3009708737864081E-2</v>
      </c>
      <c r="L179" s="1">
        <v>5.8252427184466021E-3</v>
      </c>
      <c r="M179" s="1">
        <v>1</v>
      </c>
      <c r="N179" s="2">
        <v>515</v>
      </c>
      <c r="P179" s="1">
        <v>1E-3</v>
      </c>
      <c r="Q179" s="1">
        <v>1.4E-2</v>
      </c>
      <c r="R179" s="1">
        <v>0.25700000000000001</v>
      </c>
      <c r="S179" s="1">
        <v>0.33600000000000002</v>
      </c>
      <c r="T179" s="1">
        <v>4.0000000000000001E-3</v>
      </c>
      <c r="U179" s="1">
        <v>2.3E-2</v>
      </c>
      <c r="V179" s="1">
        <v>1.4999999999999999E-2</v>
      </c>
      <c r="W179" s="1">
        <v>4.2999999999999997E-2</v>
      </c>
      <c r="X179" s="1">
        <v>0</v>
      </c>
      <c r="Y179" s="1">
        <v>7.0000000000000001E-3</v>
      </c>
      <c r="Z179" s="1">
        <v>0.58499999999999996</v>
      </c>
      <c r="AA179" s="1">
        <v>0.66800000000000004</v>
      </c>
      <c r="AB179" s="1">
        <v>2.1000000000000001E-2</v>
      </c>
      <c r="AC179" s="1">
        <v>5.1999999999999998E-2</v>
      </c>
      <c r="AD179" s="1">
        <v>2E-3</v>
      </c>
      <c r="AE179" s="1">
        <v>1.7000000000000001E-2</v>
      </c>
    </row>
    <row r="180" spans="1:31" x14ac:dyDescent="0.25">
      <c r="A180" t="str">
        <f>B180&amp;VLOOKUP(D180, Lookups!$E$2:$F$8,2,FALSE)&amp;C180</f>
        <v>SCLCGP referral50-59</v>
      </c>
      <c r="B180" t="s">
        <v>20</v>
      </c>
      <c r="C180" t="s">
        <v>8</v>
      </c>
      <c r="D180" t="s">
        <v>2</v>
      </c>
      <c r="E180" s="1">
        <v>3.2786885245901639E-3</v>
      </c>
      <c r="F180" s="1">
        <v>0.21967213114754097</v>
      </c>
      <c r="G180" s="1">
        <v>2.6229508196721311E-2</v>
      </c>
      <c r="H180" s="1">
        <v>9.8360655737704927E-3</v>
      </c>
      <c r="I180" s="1">
        <v>0</v>
      </c>
      <c r="J180" s="1">
        <v>0.57377049180327866</v>
      </c>
      <c r="K180" s="1">
        <v>0.16393442622950818</v>
      </c>
      <c r="L180" s="1">
        <v>3.2786885245901639E-3</v>
      </c>
      <c r="M180" s="1">
        <v>0.99999999999999989</v>
      </c>
      <c r="N180" s="2">
        <v>305</v>
      </c>
      <c r="P180" s="1">
        <v>1E-3</v>
      </c>
      <c r="Q180" s="1">
        <v>1.7999999999999999E-2</v>
      </c>
      <c r="R180" s="1">
        <v>0.17699999999999999</v>
      </c>
      <c r="S180" s="1">
        <v>0.26900000000000002</v>
      </c>
      <c r="T180" s="1">
        <v>1.2999999999999999E-2</v>
      </c>
      <c r="U180" s="1">
        <v>5.0999999999999997E-2</v>
      </c>
      <c r="V180" s="1">
        <v>3.0000000000000001E-3</v>
      </c>
      <c r="W180" s="1">
        <v>2.9000000000000001E-2</v>
      </c>
      <c r="X180" s="1">
        <v>0</v>
      </c>
      <c r="Y180" s="1">
        <v>1.2E-2</v>
      </c>
      <c r="Z180" s="1">
        <v>0.51800000000000002</v>
      </c>
      <c r="AA180" s="1">
        <v>0.628</v>
      </c>
      <c r="AB180" s="1">
        <v>0.127</v>
      </c>
      <c r="AC180" s="1">
        <v>0.21</v>
      </c>
      <c r="AD180" s="1">
        <v>1E-3</v>
      </c>
      <c r="AE180" s="1">
        <v>1.7999999999999999E-2</v>
      </c>
    </row>
    <row r="181" spans="1:31" x14ac:dyDescent="0.25">
      <c r="A181" t="str">
        <f>B181&amp;VLOOKUP(D181, Lookups!$E$2:$F$8,2,FALSE)&amp;C181</f>
        <v>SCLCIP &amp; OP50-59</v>
      </c>
      <c r="B181" t="s">
        <v>20</v>
      </c>
      <c r="C181" t="s">
        <v>8</v>
      </c>
      <c r="D181" t="s">
        <v>32</v>
      </c>
      <c r="E181" s="1">
        <v>9.5693779904306216E-3</v>
      </c>
      <c r="F181" s="1">
        <v>0.25358851674641147</v>
      </c>
      <c r="G181" s="1">
        <v>2.8708133971291867E-2</v>
      </c>
      <c r="H181" s="1">
        <v>2.3923444976076555E-2</v>
      </c>
      <c r="I181" s="1">
        <v>0</v>
      </c>
      <c r="J181" s="1">
        <v>0.50717703349282295</v>
      </c>
      <c r="K181" s="1">
        <v>0.1674641148325359</v>
      </c>
      <c r="L181" s="1">
        <v>9.5693779904306216E-3</v>
      </c>
      <c r="M181" s="1">
        <v>1</v>
      </c>
      <c r="N181" s="2">
        <v>209</v>
      </c>
      <c r="P181" s="1">
        <v>3.0000000000000001E-3</v>
      </c>
      <c r="Q181" s="1">
        <v>3.4000000000000002E-2</v>
      </c>
      <c r="R181" s="1">
        <v>0.19900000000000001</v>
      </c>
      <c r="S181" s="1">
        <v>0.317</v>
      </c>
      <c r="T181" s="1">
        <v>1.2999999999999999E-2</v>
      </c>
      <c r="U181" s="1">
        <v>6.0999999999999999E-2</v>
      </c>
      <c r="V181" s="1">
        <v>0.01</v>
      </c>
      <c r="W181" s="1">
        <v>5.5E-2</v>
      </c>
      <c r="X181" s="1">
        <v>0</v>
      </c>
      <c r="Y181" s="1">
        <v>1.7999999999999999E-2</v>
      </c>
      <c r="Z181" s="1">
        <v>0.44</v>
      </c>
      <c r="AA181" s="1">
        <v>0.57399999999999995</v>
      </c>
      <c r="AB181" s="1">
        <v>0.123</v>
      </c>
      <c r="AC181" s="1">
        <v>0.224</v>
      </c>
      <c r="AD181" s="1">
        <v>3.0000000000000001E-3</v>
      </c>
      <c r="AE181" s="1">
        <v>3.4000000000000002E-2</v>
      </c>
    </row>
    <row r="182" spans="1:31" x14ac:dyDescent="0.25">
      <c r="A182" t="str">
        <f>B182&amp;VLOOKUP(D182, Lookups!$E$2:$F$8,2,FALSE)&amp;C182</f>
        <v>SCLCEmergency presentation50-59</v>
      </c>
      <c r="B182" t="s">
        <v>20</v>
      </c>
      <c r="C182" t="s">
        <v>8</v>
      </c>
      <c r="D182" t="s">
        <v>33</v>
      </c>
      <c r="E182" s="1">
        <v>1.9157088122605363E-3</v>
      </c>
      <c r="F182" s="1">
        <v>0.28544061302681994</v>
      </c>
      <c r="G182" s="1">
        <v>5.1724137931034482E-2</v>
      </c>
      <c r="H182" s="1">
        <v>1.9157088122605363E-3</v>
      </c>
      <c r="I182" s="1">
        <v>0</v>
      </c>
      <c r="J182" s="1">
        <v>0.4003831417624521</v>
      </c>
      <c r="K182" s="1">
        <v>0.25862068965517243</v>
      </c>
      <c r="L182" s="1">
        <v>0</v>
      </c>
      <c r="M182" s="1">
        <v>1</v>
      </c>
      <c r="N182" s="2">
        <v>522</v>
      </c>
      <c r="P182" s="1">
        <v>0</v>
      </c>
      <c r="Q182" s="1">
        <v>1.0999999999999999E-2</v>
      </c>
      <c r="R182" s="1">
        <v>0.248</v>
      </c>
      <c r="S182" s="1">
        <v>0.32600000000000001</v>
      </c>
      <c r="T182" s="1">
        <v>3.5999999999999997E-2</v>
      </c>
      <c r="U182" s="1">
        <v>7.3999999999999996E-2</v>
      </c>
      <c r="V182" s="1">
        <v>0</v>
      </c>
      <c r="W182" s="1">
        <v>1.0999999999999999E-2</v>
      </c>
      <c r="X182" s="1">
        <v>0</v>
      </c>
      <c r="Y182" s="1">
        <v>7.0000000000000001E-3</v>
      </c>
      <c r="Z182" s="1">
        <v>0.35899999999999999</v>
      </c>
      <c r="AA182" s="1">
        <v>0.443</v>
      </c>
      <c r="AB182" s="1">
        <v>0.223</v>
      </c>
      <c r="AC182" s="1">
        <v>0.29799999999999999</v>
      </c>
      <c r="AD182" s="1">
        <v>0</v>
      </c>
      <c r="AE182" s="1">
        <v>7.0000000000000001E-3</v>
      </c>
    </row>
    <row r="183" spans="1:31" x14ac:dyDescent="0.25">
      <c r="A183" t="str">
        <f>B183&amp;VLOOKUP(D183, Lookups!$E$2:$F$8,2,FALSE)&amp;C183</f>
        <v>SCLCUnknown50-59</v>
      </c>
      <c r="B183" t="s">
        <v>20</v>
      </c>
      <c r="C183" t="s">
        <v>8</v>
      </c>
      <c r="D183" t="s">
        <v>4</v>
      </c>
      <c r="E183" s="1">
        <v>0</v>
      </c>
      <c r="F183" s="1">
        <v>0.16666666666666666</v>
      </c>
      <c r="G183" s="1">
        <v>0.16666666666666666</v>
      </c>
      <c r="H183" s="1">
        <v>0</v>
      </c>
      <c r="I183" s="1" t="s">
        <v>137</v>
      </c>
      <c r="J183" s="1">
        <v>0.16666666666666666</v>
      </c>
      <c r="K183" s="1">
        <v>0.5</v>
      </c>
      <c r="L183" s="1" t="s">
        <v>137</v>
      </c>
      <c r="M183" s="1">
        <v>1</v>
      </c>
      <c r="N183" s="2">
        <v>18</v>
      </c>
      <c r="P183" s="1">
        <v>0</v>
      </c>
      <c r="Q183" s="1">
        <v>0.17599999999999999</v>
      </c>
      <c r="R183" s="1">
        <v>5.8000000000000003E-2</v>
      </c>
      <c r="S183" s="1">
        <v>0.39200000000000002</v>
      </c>
      <c r="T183" s="1">
        <v>5.8000000000000003E-2</v>
      </c>
      <c r="U183" s="1">
        <v>0.39200000000000002</v>
      </c>
      <c r="V183" s="1">
        <v>0</v>
      </c>
      <c r="W183" s="1">
        <v>0.17599999999999999</v>
      </c>
      <c r="X183" s="1"/>
      <c r="Y183" s="1"/>
      <c r="Z183" s="1">
        <v>5.8000000000000003E-2</v>
      </c>
      <c r="AA183" s="1">
        <v>0.39200000000000002</v>
      </c>
      <c r="AB183" s="1">
        <v>0.28999999999999998</v>
      </c>
      <c r="AC183" s="1">
        <v>0.71</v>
      </c>
      <c r="AD183" s="1"/>
      <c r="AE183" s="1"/>
    </row>
    <row r="184" spans="1:31" x14ac:dyDescent="0.25">
      <c r="A184" t="str">
        <f>B184&amp;VLOOKUP(D184, Lookups!$E$2:$F$8,2,FALSE)&amp;C184</f>
        <v>SCLCAll Routes50-59</v>
      </c>
      <c r="B184" t="s">
        <v>20</v>
      </c>
      <c r="C184" t="s">
        <v>8</v>
      </c>
      <c r="D184" t="s">
        <v>34</v>
      </c>
      <c r="E184" s="1">
        <v>3.8240917782026767E-3</v>
      </c>
      <c r="F184" s="1">
        <v>0.27023581899298915</v>
      </c>
      <c r="G184" s="1">
        <v>3.1230082855321861E-2</v>
      </c>
      <c r="H184" s="1">
        <v>1.4021669853409816E-2</v>
      </c>
      <c r="I184" s="1">
        <v>0</v>
      </c>
      <c r="J184" s="1">
        <v>0.5200764818355641</v>
      </c>
      <c r="K184" s="1">
        <v>0.15678776290630975</v>
      </c>
      <c r="L184" s="1">
        <v>3.8240917782026767E-3</v>
      </c>
      <c r="M184" s="1">
        <v>1</v>
      </c>
      <c r="N184" s="2">
        <v>1569</v>
      </c>
      <c r="P184" s="1">
        <v>2E-3</v>
      </c>
      <c r="Q184" s="1">
        <v>8.0000000000000002E-3</v>
      </c>
      <c r="R184" s="1">
        <v>0.249</v>
      </c>
      <c r="S184" s="1">
        <v>0.29299999999999998</v>
      </c>
      <c r="T184" s="1">
        <v>2.4E-2</v>
      </c>
      <c r="U184" s="1">
        <v>4.1000000000000002E-2</v>
      </c>
      <c r="V184" s="1">
        <v>8.9999999999999993E-3</v>
      </c>
      <c r="W184" s="1">
        <v>2.1000000000000001E-2</v>
      </c>
      <c r="X184" s="1">
        <v>0</v>
      </c>
      <c r="Y184" s="1">
        <v>2E-3</v>
      </c>
      <c r="Z184" s="1">
        <v>0.495</v>
      </c>
      <c r="AA184" s="1">
        <v>0.54500000000000004</v>
      </c>
      <c r="AB184" s="1">
        <v>0.14000000000000001</v>
      </c>
      <c r="AC184" s="1">
        <v>0.17599999999999999</v>
      </c>
      <c r="AD184" s="1">
        <v>2E-3</v>
      </c>
      <c r="AE184" s="1">
        <v>8.0000000000000002E-3</v>
      </c>
    </row>
    <row r="185" spans="1:31" x14ac:dyDescent="0.25">
      <c r="A185" t="str">
        <f>B185&amp;VLOOKUP(D185, Lookups!$E$2:$F$8,2,FALSE)&amp;C185</f>
        <v>SCLCScreen detected60-69</v>
      </c>
      <c r="B185" t="s">
        <v>20</v>
      </c>
      <c r="C185" t="s">
        <v>9</v>
      </c>
      <c r="D185" t="s">
        <v>30</v>
      </c>
      <c r="E185" s="1" t="s">
        <v>137</v>
      </c>
      <c r="F185" s="1" t="s">
        <v>137</v>
      </c>
      <c r="G185" s="1" t="s">
        <v>137</v>
      </c>
      <c r="H185" s="1" t="s">
        <v>137</v>
      </c>
      <c r="I185" s="1" t="s">
        <v>137</v>
      </c>
      <c r="J185" s="1" t="s">
        <v>137</v>
      </c>
      <c r="K185" s="1" t="s">
        <v>137</v>
      </c>
      <c r="L185" s="1" t="s">
        <v>137</v>
      </c>
      <c r="M185" s="1">
        <v>0</v>
      </c>
      <c r="N185" s="2">
        <v>0</v>
      </c>
      <c r="P185" s="1"/>
      <c r="Q185" s="1"/>
      <c r="R185" s="1"/>
      <c r="S185" s="1"/>
      <c r="T185" s="1"/>
      <c r="U185" s="1"/>
      <c r="V185" s="1"/>
      <c r="W185" s="1"/>
      <c r="X185" s="1"/>
      <c r="Y185" s="1"/>
      <c r="Z185" s="1"/>
      <c r="AA185" s="1"/>
      <c r="AB185" s="1"/>
      <c r="AC185" s="1"/>
      <c r="AD185" s="1"/>
      <c r="AE185" s="1"/>
    </row>
    <row r="186" spans="1:31" x14ac:dyDescent="0.25">
      <c r="A186" t="str">
        <f>B186&amp;VLOOKUP(D186, Lookups!$E$2:$F$8,2,FALSE)&amp;C186</f>
        <v>SCLCTwo Week Wait60-69</v>
      </c>
      <c r="B186" t="s">
        <v>20</v>
      </c>
      <c r="C186" t="s">
        <v>9</v>
      </c>
      <c r="D186" t="s">
        <v>31</v>
      </c>
      <c r="E186" s="1">
        <v>4.9786628733997154E-3</v>
      </c>
      <c r="F186" s="1">
        <v>0.35206258890469416</v>
      </c>
      <c r="G186" s="1">
        <v>2.4893314366998577E-2</v>
      </c>
      <c r="H186" s="1">
        <v>1.7069701280227598E-2</v>
      </c>
      <c r="I186" s="1">
        <v>1.4224751066856331E-3</v>
      </c>
      <c r="J186" s="1">
        <v>0.5248933143669986</v>
      </c>
      <c r="K186" s="1">
        <v>6.6145092460881932E-2</v>
      </c>
      <c r="L186" s="1">
        <v>8.5348506401137988E-3</v>
      </c>
      <c r="M186" s="1">
        <v>1</v>
      </c>
      <c r="N186" s="2">
        <v>1406</v>
      </c>
      <c r="P186" s="1">
        <v>2E-3</v>
      </c>
      <c r="Q186" s="1">
        <v>0.01</v>
      </c>
      <c r="R186" s="1">
        <v>0.32800000000000001</v>
      </c>
      <c r="S186" s="1">
        <v>0.377</v>
      </c>
      <c r="T186" s="1">
        <v>1.7999999999999999E-2</v>
      </c>
      <c r="U186" s="1">
        <v>3.4000000000000002E-2</v>
      </c>
      <c r="V186" s="1">
        <v>1.0999999999999999E-2</v>
      </c>
      <c r="W186" s="1">
        <v>2.5000000000000001E-2</v>
      </c>
      <c r="X186" s="1">
        <v>0</v>
      </c>
      <c r="Y186" s="1">
        <v>5.0000000000000001E-3</v>
      </c>
      <c r="Z186" s="1">
        <v>0.499</v>
      </c>
      <c r="AA186" s="1">
        <v>0.55100000000000005</v>
      </c>
      <c r="AB186" s="1">
        <v>5.3999999999999999E-2</v>
      </c>
      <c r="AC186" s="1">
        <v>0.08</v>
      </c>
      <c r="AD186" s="1">
        <v>5.0000000000000001E-3</v>
      </c>
      <c r="AE186" s="1">
        <v>1.4999999999999999E-2</v>
      </c>
    </row>
    <row r="187" spans="1:31" x14ac:dyDescent="0.25">
      <c r="A187" t="str">
        <f>B187&amp;VLOOKUP(D187, Lookups!$E$2:$F$8,2,FALSE)&amp;C187</f>
        <v>SCLCGP referral60-69</v>
      </c>
      <c r="B187" t="s">
        <v>20</v>
      </c>
      <c r="C187" t="s">
        <v>9</v>
      </c>
      <c r="D187" t="s">
        <v>2</v>
      </c>
      <c r="E187" s="1">
        <v>2.6490066225165563E-3</v>
      </c>
      <c r="F187" s="1">
        <v>0.29668874172185433</v>
      </c>
      <c r="G187" s="1">
        <v>4.6357615894039736E-2</v>
      </c>
      <c r="H187" s="1">
        <v>2.119205298013245E-2</v>
      </c>
      <c r="I187" s="1">
        <v>0</v>
      </c>
      <c r="J187" s="1">
        <v>0.42649006622516555</v>
      </c>
      <c r="K187" s="1">
        <v>0.19735099337748344</v>
      </c>
      <c r="L187" s="1">
        <v>9.2715231788079479E-3</v>
      </c>
      <c r="M187" s="1">
        <v>1</v>
      </c>
      <c r="N187" s="2">
        <v>755</v>
      </c>
      <c r="P187" s="1">
        <v>1E-3</v>
      </c>
      <c r="Q187" s="1">
        <v>0.01</v>
      </c>
      <c r="R187" s="1">
        <v>0.26500000000000001</v>
      </c>
      <c r="S187" s="1">
        <v>0.33</v>
      </c>
      <c r="T187" s="1">
        <v>3.4000000000000002E-2</v>
      </c>
      <c r="U187" s="1">
        <v>6.4000000000000001E-2</v>
      </c>
      <c r="V187" s="1">
        <v>1.2999999999999999E-2</v>
      </c>
      <c r="W187" s="1">
        <v>3.4000000000000002E-2</v>
      </c>
      <c r="X187" s="1">
        <v>0</v>
      </c>
      <c r="Y187" s="1">
        <v>5.0000000000000001E-3</v>
      </c>
      <c r="Z187" s="1">
        <v>0.39200000000000002</v>
      </c>
      <c r="AA187" s="1">
        <v>0.46200000000000002</v>
      </c>
      <c r="AB187" s="1">
        <v>0.17100000000000001</v>
      </c>
      <c r="AC187" s="1">
        <v>0.22700000000000001</v>
      </c>
      <c r="AD187" s="1">
        <v>4.0000000000000001E-3</v>
      </c>
      <c r="AE187" s="1">
        <v>1.9E-2</v>
      </c>
    </row>
    <row r="188" spans="1:31" x14ac:dyDescent="0.25">
      <c r="A188" t="str">
        <f>B188&amp;VLOOKUP(D188, Lookups!$E$2:$F$8,2,FALSE)&amp;C188</f>
        <v>SCLCIP &amp; OP60-69</v>
      </c>
      <c r="B188" t="s">
        <v>20</v>
      </c>
      <c r="C188" t="s">
        <v>9</v>
      </c>
      <c r="D188" t="s">
        <v>32</v>
      </c>
      <c r="E188" s="1">
        <v>1.1049723756906077E-2</v>
      </c>
      <c r="F188" s="1">
        <v>0.287292817679558</v>
      </c>
      <c r="G188" s="1">
        <v>3.6832412523020261E-2</v>
      </c>
      <c r="H188" s="1">
        <v>1.841620626151013E-2</v>
      </c>
      <c r="I188" s="1">
        <v>0</v>
      </c>
      <c r="J188" s="1">
        <v>0.47882136279926335</v>
      </c>
      <c r="K188" s="1">
        <v>0.15469613259668508</v>
      </c>
      <c r="L188" s="1">
        <v>1.289134438305709E-2</v>
      </c>
      <c r="M188" s="1">
        <v>1.0000000000000002</v>
      </c>
      <c r="N188" s="2">
        <v>543</v>
      </c>
      <c r="P188" s="1">
        <v>5.0000000000000001E-3</v>
      </c>
      <c r="Q188" s="1">
        <v>2.4E-2</v>
      </c>
      <c r="R188" s="1">
        <v>0.251</v>
      </c>
      <c r="S188" s="1">
        <v>0.32700000000000001</v>
      </c>
      <c r="T188" s="1">
        <v>2.4E-2</v>
      </c>
      <c r="U188" s="1">
        <v>5.6000000000000001E-2</v>
      </c>
      <c r="V188" s="1">
        <v>0.01</v>
      </c>
      <c r="W188" s="1">
        <v>3.4000000000000002E-2</v>
      </c>
      <c r="X188" s="1">
        <v>0</v>
      </c>
      <c r="Y188" s="1">
        <v>7.0000000000000001E-3</v>
      </c>
      <c r="Z188" s="1">
        <v>0.437</v>
      </c>
      <c r="AA188" s="1">
        <v>0.52100000000000002</v>
      </c>
      <c r="AB188" s="1">
        <v>0.127</v>
      </c>
      <c r="AC188" s="1">
        <v>0.188</v>
      </c>
      <c r="AD188" s="1">
        <v>6.0000000000000001E-3</v>
      </c>
      <c r="AE188" s="1">
        <v>2.5999999999999999E-2</v>
      </c>
    </row>
    <row r="189" spans="1:31" x14ac:dyDescent="0.25">
      <c r="A189" t="str">
        <f>B189&amp;VLOOKUP(D189, Lookups!$E$2:$F$8,2,FALSE)&amp;C189</f>
        <v>SCLCEmergency presentation60-69</v>
      </c>
      <c r="B189" t="s">
        <v>20</v>
      </c>
      <c r="C189" t="s">
        <v>9</v>
      </c>
      <c r="D189" t="s">
        <v>33</v>
      </c>
      <c r="E189" s="1">
        <v>2.4469820554649264E-3</v>
      </c>
      <c r="F189" s="1">
        <v>0.29771615008156604</v>
      </c>
      <c r="G189" s="1">
        <v>4.5676998368678633E-2</v>
      </c>
      <c r="H189" s="1">
        <v>1.6313213703099511E-3</v>
      </c>
      <c r="I189" s="1">
        <v>8.1566068515497557E-4</v>
      </c>
      <c r="J189" s="1">
        <v>0.30587275693311583</v>
      </c>
      <c r="K189" s="1">
        <v>0.34502446982055462</v>
      </c>
      <c r="L189" s="1">
        <v>8.1566068515497557E-4</v>
      </c>
      <c r="M189" s="1">
        <v>0.99999999999999989</v>
      </c>
      <c r="N189" s="2">
        <v>1226</v>
      </c>
      <c r="P189" s="1">
        <v>1E-3</v>
      </c>
      <c r="Q189" s="1">
        <v>7.0000000000000001E-3</v>
      </c>
      <c r="R189" s="1">
        <v>0.27300000000000002</v>
      </c>
      <c r="S189" s="1">
        <v>0.32400000000000001</v>
      </c>
      <c r="T189" s="1">
        <v>3.5000000000000003E-2</v>
      </c>
      <c r="U189" s="1">
        <v>5.8999999999999997E-2</v>
      </c>
      <c r="V189" s="1">
        <v>0</v>
      </c>
      <c r="W189" s="1">
        <v>6.0000000000000001E-3</v>
      </c>
      <c r="X189" s="1">
        <v>0</v>
      </c>
      <c r="Y189" s="1">
        <v>5.0000000000000001E-3</v>
      </c>
      <c r="Z189" s="1">
        <v>0.28100000000000003</v>
      </c>
      <c r="AA189" s="1">
        <v>0.33200000000000002</v>
      </c>
      <c r="AB189" s="1">
        <v>0.31900000000000001</v>
      </c>
      <c r="AC189" s="1">
        <v>0.372</v>
      </c>
      <c r="AD189" s="1">
        <v>0</v>
      </c>
      <c r="AE189" s="1">
        <v>5.0000000000000001E-3</v>
      </c>
    </row>
    <row r="190" spans="1:31" x14ac:dyDescent="0.25">
      <c r="A190" t="str">
        <f>B190&amp;VLOOKUP(D190, Lookups!$E$2:$F$8,2,FALSE)&amp;C190</f>
        <v>SCLCUnknown60-69</v>
      </c>
      <c r="B190" t="s">
        <v>20</v>
      </c>
      <c r="C190" t="s">
        <v>9</v>
      </c>
      <c r="D190" t="s">
        <v>4</v>
      </c>
      <c r="E190" s="1">
        <v>2.0833333333333332E-2</v>
      </c>
      <c r="F190" s="1">
        <v>0.20833333333333334</v>
      </c>
      <c r="G190" s="1">
        <v>4.1666666666666664E-2</v>
      </c>
      <c r="H190" s="1">
        <v>0</v>
      </c>
      <c r="I190" s="1" t="s">
        <v>137</v>
      </c>
      <c r="J190" s="1">
        <v>0.25</v>
      </c>
      <c r="K190" s="1">
        <v>0.47916666666666669</v>
      </c>
      <c r="L190" s="1" t="s">
        <v>137</v>
      </c>
      <c r="M190" s="1">
        <v>1</v>
      </c>
      <c r="N190" s="2">
        <v>48</v>
      </c>
      <c r="P190" s="1">
        <v>4.0000000000000001E-3</v>
      </c>
      <c r="Q190" s="1">
        <v>0.109</v>
      </c>
      <c r="R190" s="1">
        <v>0.11700000000000001</v>
      </c>
      <c r="S190" s="1">
        <v>0.34300000000000003</v>
      </c>
      <c r="T190" s="1">
        <v>1.2E-2</v>
      </c>
      <c r="U190" s="1">
        <v>0.14000000000000001</v>
      </c>
      <c r="V190" s="1">
        <v>0</v>
      </c>
      <c r="W190" s="1">
        <v>7.3999999999999996E-2</v>
      </c>
      <c r="X190" s="1"/>
      <c r="Y190" s="1"/>
      <c r="Z190" s="1">
        <v>0.14899999999999999</v>
      </c>
      <c r="AA190" s="1">
        <v>0.38800000000000001</v>
      </c>
      <c r="AB190" s="1">
        <v>0.34499999999999997</v>
      </c>
      <c r="AC190" s="1">
        <v>0.61699999999999999</v>
      </c>
      <c r="AD190" s="1"/>
      <c r="AE190" s="1"/>
    </row>
    <row r="191" spans="1:31" x14ac:dyDescent="0.25">
      <c r="A191" t="str">
        <f>B191&amp;VLOOKUP(D191, Lookups!$E$2:$F$8,2,FALSE)&amp;C191</f>
        <v>SCLCAll Routes60-69</v>
      </c>
      <c r="B191" t="s">
        <v>20</v>
      </c>
      <c r="C191" t="s">
        <v>9</v>
      </c>
      <c r="D191" t="s">
        <v>34</v>
      </c>
      <c r="E191" s="1">
        <v>4.7762694821518355E-3</v>
      </c>
      <c r="F191" s="1">
        <v>0.31422825540472599</v>
      </c>
      <c r="G191" s="1">
        <v>3.7204625439919557E-2</v>
      </c>
      <c r="H191" s="1">
        <v>1.3071895424836602E-2</v>
      </c>
      <c r="I191" s="1">
        <v>7.5414781297134241E-4</v>
      </c>
      <c r="J191" s="1">
        <v>0.42911010558069379</v>
      </c>
      <c r="K191" s="1">
        <v>0.19406737053795878</v>
      </c>
      <c r="L191" s="1">
        <v>6.7873303167420816E-3</v>
      </c>
      <c r="M191" s="1">
        <v>0.99999999999999989</v>
      </c>
      <c r="N191" s="2">
        <v>3978</v>
      </c>
      <c r="P191" s="1">
        <v>3.0000000000000001E-3</v>
      </c>
      <c r="Q191" s="1">
        <v>7.0000000000000001E-3</v>
      </c>
      <c r="R191" s="1">
        <v>0.3</v>
      </c>
      <c r="S191" s="1">
        <v>0.32900000000000001</v>
      </c>
      <c r="T191" s="1">
        <v>3.2000000000000001E-2</v>
      </c>
      <c r="U191" s="1">
        <v>4.3999999999999997E-2</v>
      </c>
      <c r="V191" s="1">
        <v>0.01</v>
      </c>
      <c r="W191" s="1">
        <v>1.7000000000000001E-2</v>
      </c>
      <c r="X191" s="1">
        <v>0</v>
      </c>
      <c r="Y191" s="1">
        <v>2E-3</v>
      </c>
      <c r="Z191" s="1">
        <v>0.41399999999999998</v>
      </c>
      <c r="AA191" s="1">
        <v>0.44500000000000001</v>
      </c>
      <c r="AB191" s="1">
        <v>0.182</v>
      </c>
      <c r="AC191" s="1">
        <v>0.20699999999999999</v>
      </c>
      <c r="AD191" s="1">
        <v>5.0000000000000001E-3</v>
      </c>
      <c r="AE191" s="1">
        <v>0.01</v>
      </c>
    </row>
    <row r="192" spans="1:31" x14ac:dyDescent="0.25">
      <c r="A192" t="str">
        <f>B192&amp;VLOOKUP(D192, Lookups!$E$2:$F$8,2,FALSE)&amp;C192</f>
        <v>SCLCScreen detected70-79</v>
      </c>
      <c r="B192" t="s">
        <v>20</v>
      </c>
      <c r="C192" t="s">
        <v>10</v>
      </c>
      <c r="D192" t="s">
        <v>30</v>
      </c>
      <c r="E192" s="1" t="s">
        <v>137</v>
      </c>
      <c r="F192" s="1" t="s">
        <v>137</v>
      </c>
      <c r="G192" s="1" t="s">
        <v>137</v>
      </c>
      <c r="H192" s="1" t="s">
        <v>137</v>
      </c>
      <c r="I192" s="1" t="s">
        <v>137</v>
      </c>
      <c r="J192" s="1" t="s">
        <v>137</v>
      </c>
      <c r="K192" s="1" t="s">
        <v>137</v>
      </c>
      <c r="L192" s="1" t="s">
        <v>137</v>
      </c>
      <c r="M192" s="1">
        <v>0</v>
      </c>
      <c r="N192" s="2">
        <v>0</v>
      </c>
      <c r="P192" s="1"/>
      <c r="Q192" s="1"/>
      <c r="R192" s="1"/>
      <c r="S192" s="1"/>
      <c r="T192" s="1"/>
      <c r="U192" s="1"/>
      <c r="V192" s="1"/>
      <c r="W192" s="1"/>
      <c r="X192" s="1"/>
      <c r="Y192" s="1"/>
      <c r="Z192" s="1"/>
      <c r="AA192" s="1"/>
      <c r="AB192" s="1"/>
      <c r="AC192" s="1"/>
      <c r="AD192" s="1"/>
      <c r="AE192" s="1"/>
    </row>
    <row r="193" spans="1:31" x14ac:dyDescent="0.25">
      <c r="A193" t="str">
        <f>B193&amp;VLOOKUP(D193, Lookups!$E$2:$F$8,2,FALSE)&amp;C193</f>
        <v>SCLCTwo Week Wait70-79</v>
      </c>
      <c r="B193" t="s">
        <v>20</v>
      </c>
      <c r="C193" t="s">
        <v>10</v>
      </c>
      <c r="D193" t="s">
        <v>31</v>
      </c>
      <c r="E193" s="1">
        <v>6.0744115413819289E-3</v>
      </c>
      <c r="F193" s="1">
        <v>0.39483675018982534</v>
      </c>
      <c r="G193" s="1">
        <v>4.1002277904328019E-2</v>
      </c>
      <c r="H193" s="1">
        <v>1.0630220197418374E-2</v>
      </c>
      <c r="I193" s="1">
        <v>7.5930144267274111E-4</v>
      </c>
      <c r="J193" s="1">
        <v>0.43887623386484437</v>
      </c>
      <c r="K193" s="1">
        <v>0.1070615034168565</v>
      </c>
      <c r="L193" s="1">
        <v>7.5930144267274111E-4</v>
      </c>
      <c r="M193" s="1">
        <v>1</v>
      </c>
      <c r="N193" s="2">
        <v>1317</v>
      </c>
      <c r="P193" s="1">
        <v>3.0000000000000001E-3</v>
      </c>
      <c r="Q193" s="1">
        <v>1.2E-2</v>
      </c>
      <c r="R193" s="1">
        <v>0.36899999999999999</v>
      </c>
      <c r="S193" s="1">
        <v>0.42199999999999999</v>
      </c>
      <c r="T193" s="1">
        <v>3.2000000000000001E-2</v>
      </c>
      <c r="U193" s="1">
        <v>5.2999999999999999E-2</v>
      </c>
      <c r="V193" s="1">
        <v>6.0000000000000001E-3</v>
      </c>
      <c r="W193" s="1">
        <v>1.7999999999999999E-2</v>
      </c>
      <c r="X193" s="1">
        <v>0</v>
      </c>
      <c r="Y193" s="1">
        <v>4.0000000000000001E-3</v>
      </c>
      <c r="Z193" s="1">
        <v>0.41199999999999998</v>
      </c>
      <c r="AA193" s="1">
        <v>0.46600000000000003</v>
      </c>
      <c r="AB193" s="1">
        <v>9.0999999999999998E-2</v>
      </c>
      <c r="AC193" s="1">
        <v>0.125</v>
      </c>
      <c r="AD193" s="1">
        <v>0</v>
      </c>
      <c r="AE193" s="1">
        <v>4.0000000000000001E-3</v>
      </c>
    </row>
    <row r="194" spans="1:31" x14ac:dyDescent="0.25">
      <c r="A194" t="str">
        <f>B194&amp;VLOOKUP(D194, Lookups!$E$2:$F$8,2,FALSE)&amp;C194</f>
        <v>SCLCGP referral70-79</v>
      </c>
      <c r="B194" t="s">
        <v>20</v>
      </c>
      <c r="C194" t="s">
        <v>10</v>
      </c>
      <c r="D194" t="s">
        <v>2</v>
      </c>
      <c r="E194" s="1">
        <v>8.3932853717026377E-3</v>
      </c>
      <c r="F194" s="1">
        <v>0.34772182254196643</v>
      </c>
      <c r="G194" s="1">
        <v>6.4748201438848921E-2</v>
      </c>
      <c r="H194" s="1">
        <v>1.9184652278177457E-2</v>
      </c>
      <c r="I194" s="1">
        <v>1.199040767386091E-3</v>
      </c>
      <c r="J194" s="1">
        <v>0.30095923261390889</v>
      </c>
      <c r="K194" s="1">
        <v>0.25539568345323743</v>
      </c>
      <c r="L194" s="1">
        <v>2.3980815347721821E-3</v>
      </c>
      <c r="M194" s="1">
        <v>1</v>
      </c>
      <c r="N194" s="2">
        <v>834</v>
      </c>
      <c r="P194" s="1">
        <v>4.0000000000000001E-3</v>
      </c>
      <c r="Q194" s="1">
        <v>1.7000000000000001E-2</v>
      </c>
      <c r="R194" s="1">
        <v>0.316</v>
      </c>
      <c r="S194" s="1">
        <v>0.38100000000000001</v>
      </c>
      <c r="T194" s="1">
        <v>0.05</v>
      </c>
      <c r="U194" s="1">
        <v>8.4000000000000005E-2</v>
      </c>
      <c r="V194" s="1">
        <v>1.2E-2</v>
      </c>
      <c r="W194" s="1">
        <v>3.1E-2</v>
      </c>
      <c r="X194" s="1">
        <v>0</v>
      </c>
      <c r="Y194" s="1">
        <v>7.0000000000000001E-3</v>
      </c>
      <c r="Z194" s="1">
        <v>0.27100000000000002</v>
      </c>
      <c r="AA194" s="1">
        <v>0.33300000000000002</v>
      </c>
      <c r="AB194" s="1">
        <v>0.22700000000000001</v>
      </c>
      <c r="AC194" s="1">
        <v>0.28599999999999998</v>
      </c>
      <c r="AD194" s="1">
        <v>1E-3</v>
      </c>
      <c r="AE194" s="1">
        <v>8.9999999999999993E-3</v>
      </c>
    </row>
    <row r="195" spans="1:31" x14ac:dyDescent="0.25">
      <c r="A195" t="str">
        <f>B195&amp;VLOOKUP(D195, Lookups!$E$2:$F$8,2,FALSE)&amp;C195</f>
        <v>SCLCIP &amp; OP70-79</v>
      </c>
      <c r="B195" t="s">
        <v>20</v>
      </c>
      <c r="C195" t="s">
        <v>10</v>
      </c>
      <c r="D195" t="s">
        <v>32</v>
      </c>
      <c r="E195" s="1">
        <v>1.858736059479554E-2</v>
      </c>
      <c r="F195" s="1">
        <v>0.32713754646840149</v>
      </c>
      <c r="G195" s="1">
        <v>6.8773234200743494E-2</v>
      </c>
      <c r="H195" s="1">
        <v>2.6022304832713755E-2</v>
      </c>
      <c r="I195" s="1">
        <v>0</v>
      </c>
      <c r="J195" s="1">
        <v>0.31784386617100374</v>
      </c>
      <c r="K195" s="1">
        <v>0.23605947955390336</v>
      </c>
      <c r="L195" s="1">
        <v>5.5762081784386614E-3</v>
      </c>
      <c r="M195" s="1">
        <v>1</v>
      </c>
      <c r="N195" s="2">
        <v>538</v>
      </c>
      <c r="P195" s="1">
        <v>0.01</v>
      </c>
      <c r="Q195" s="1">
        <v>3.4000000000000002E-2</v>
      </c>
      <c r="R195" s="1">
        <v>0.28899999999999998</v>
      </c>
      <c r="S195" s="1">
        <v>0.36799999999999999</v>
      </c>
      <c r="T195" s="1">
        <v>0.05</v>
      </c>
      <c r="U195" s="1">
        <v>9.2999999999999999E-2</v>
      </c>
      <c r="V195" s="1">
        <v>1.6E-2</v>
      </c>
      <c r="W195" s="1">
        <v>4.2999999999999997E-2</v>
      </c>
      <c r="X195" s="1">
        <v>0</v>
      </c>
      <c r="Y195" s="1">
        <v>7.0000000000000001E-3</v>
      </c>
      <c r="Z195" s="1">
        <v>0.28000000000000003</v>
      </c>
      <c r="AA195" s="1">
        <v>0.35799999999999998</v>
      </c>
      <c r="AB195" s="1">
        <v>0.20200000000000001</v>
      </c>
      <c r="AC195" s="1">
        <v>0.27400000000000002</v>
      </c>
      <c r="AD195" s="1">
        <v>2E-3</v>
      </c>
      <c r="AE195" s="1">
        <v>1.6E-2</v>
      </c>
    </row>
    <row r="196" spans="1:31" x14ac:dyDescent="0.25">
      <c r="A196" t="str">
        <f>B196&amp;VLOOKUP(D196, Lookups!$E$2:$F$8,2,FALSE)&amp;C196</f>
        <v>SCLCEmergency presentation70-79</v>
      </c>
      <c r="B196" t="s">
        <v>20</v>
      </c>
      <c r="C196" t="s">
        <v>10</v>
      </c>
      <c r="D196" t="s">
        <v>33</v>
      </c>
      <c r="E196" s="1">
        <v>7.0126227208976155E-4</v>
      </c>
      <c r="F196" s="1">
        <v>0.29663394109396912</v>
      </c>
      <c r="G196" s="1">
        <v>7.7138849929873771E-2</v>
      </c>
      <c r="H196" s="1">
        <v>3.5063113604488078E-3</v>
      </c>
      <c r="I196" s="1">
        <v>0</v>
      </c>
      <c r="J196" s="1">
        <v>0.18934081346423562</v>
      </c>
      <c r="K196" s="1">
        <v>0.43197755960729312</v>
      </c>
      <c r="L196" s="1">
        <v>7.0126227208976155E-4</v>
      </c>
      <c r="M196" s="1">
        <v>1</v>
      </c>
      <c r="N196" s="2">
        <v>1426</v>
      </c>
      <c r="P196" s="1">
        <v>0</v>
      </c>
      <c r="Q196" s="1">
        <v>4.0000000000000001E-3</v>
      </c>
      <c r="R196" s="1">
        <v>0.27300000000000002</v>
      </c>
      <c r="S196" s="1">
        <v>0.32100000000000001</v>
      </c>
      <c r="T196" s="1">
        <v>6.4000000000000001E-2</v>
      </c>
      <c r="U196" s="1">
        <v>9.1999999999999998E-2</v>
      </c>
      <c r="V196" s="1">
        <v>1E-3</v>
      </c>
      <c r="W196" s="1">
        <v>8.0000000000000002E-3</v>
      </c>
      <c r="X196" s="1">
        <v>0</v>
      </c>
      <c r="Y196" s="1">
        <v>3.0000000000000001E-3</v>
      </c>
      <c r="Z196" s="1">
        <v>0.17</v>
      </c>
      <c r="AA196" s="1">
        <v>0.21</v>
      </c>
      <c r="AB196" s="1">
        <v>0.40600000000000003</v>
      </c>
      <c r="AC196" s="1">
        <v>0.45800000000000002</v>
      </c>
      <c r="AD196" s="1">
        <v>0</v>
      </c>
      <c r="AE196" s="1">
        <v>4.0000000000000001E-3</v>
      </c>
    </row>
    <row r="197" spans="1:31" x14ac:dyDescent="0.25">
      <c r="A197" t="str">
        <f>B197&amp;VLOOKUP(D197, Lookups!$E$2:$F$8,2,FALSE)&amp;C197</f>
        <v>SCLCUnknown70-79</v>
      </c>
      <c r="B197" t="s">
        <v>20</v>
      </c>
      <c r="C197" t="s">
        <v>10</v>
      </c>
      <c r="D197" t="s">
        <v>4</v>
      </c>
      <c r="E197" s="1">
        <v>4.2553191489361701E-2</v>
      </c>
      <c r="F197" s="1">
        <v>0.1702127659574468</v>
      </c>
      <c r="G197" s="1">
        <v>6.3829787234042548E-2</v>
      </c>
      <c r="H197" s="1">
        <v>2.1276595744680851E-2</v>
      </c>
      <c r="I197" s="1" t="s">
        <v>137</v>
      </c>
      <c r="J197" s="1">
        <v>0.19148936170212766</v>
      </c>
      <c r="K197" s="1">
        <v>0.51063829787234039</v>
      </c>
      <c r="L197" s="1" t="s">
        <v>137</v>
      </c>
      <c r="M197" s="1">
        <v>1</v>
      </c>
      <c r="N197" s="2">
        <v>47</v>
      </c>
      <c r="P197" s="1">
        <v>1.2E-2</v>
      </c>
      <c r="Q197" s="1">
        <v>0.14199999999999999</v>
      </c>
      <c r="R197" s="1">
        <v>8.8999999999999996E-2</v>
      </c>
      <c r="S197" s="1">
        <v>0.30099999999999999</v>
      </c>
      <c r="T197" s="1">
        <v>2.1999999999999999E-2</v>
      </c>
      <c r="U197" s="1">
        <v>0.17199999999999999</v>
      </c>
      <c r="V197" s="1">
        <v>4.0000000000000001E-3</v>
      </c>
      <c r="W197" s="1">
        <v>0.111</v>
      </c>
      <c r="X197" s="1"/>
      <c r="Y197" s="1"/>
      <c r="Z197" s="1">
        <v>0.104</v>
      </c>
      <c r="AA197" s="1">
        <v>0.32500000000000001</v>
      </c>
      <c r="AB197" s="1">
        <v>0.372</v>
      </c>
      <c r="AC197" s="1">
        <v>0.64700000000000002</v>
      </c>
      <c r="AD197" s="1"/>
      <c r="AE197" s="1"/>
    </row>
    <row r="198" spans="1:31" x14ac:dyDescent="0.25">
      <c r="A198" t="str">
        <f>B198&amp;VLOOKUP(D198, Lookups!$E$2:$F$8,2,FALSE)&amp;C198</f>
        <v>SCLCAll Routes70-79</v>
      </c>
      <c r="B198" t="s">
        <v>20</v>
      </c>
      <c r="C198" t="s">
        <v>10</v>
      </c>
      <c r="D198" t="s">
        <v>34</v>
      </c>
      <c r="E198" s="1">
        <v>6.7275348390197021E-3</v>
      </c>
      <c r="F198" s="1">
        <v>0.34046131667467566</v>
      </c>
      <c r="G198" s="1">
        <v>6.198942815953868E-2</v>
      </c>
      <c r="H198" s="1">
        <v>1.2013455069678039E-2</v>
      </c>
      <c r="I198" s="1">
        <v>4.8053820278712159E-4</v>
      </c>
      <c r="J198" s="1">
        <v>0.30730418068236426</v>
      </c>
      <c r="K198" s="1">
        <v>0.26934166266218162</v>
      </c>
      <c r="L198" s="1">
        <v>1.6818837097549255E-3</v>
      </c>
      <c r="M198" s="1">
        <v>1</v>
      </c>
      <c r="N198" s="2">
        <v>4162</v>
      </c>
      <c r="P198" s="1">
        <v>5.0000000000000001E-3</v>
      </c>
      <c r="Q198" s="1">
        <v>0.01</v>
      </c>
      <c r="R198" s="1">
        <v>0.32600000000000001</v>
      </c>
      <c r="S198" s="1">
        <v>0.35499999999999998</v>
      </c>
      <c r="T198" s="1">
        <v>5.5E-2</v>
      </c>
      <c r="U198" s="1">
        <v>7.0000000000000007E-2</v>
      </c>
      <c r="V198" s="1">
        <v>8.9999999999999993E-3</v>
      </c>
      <c r="W198" s="1">
        <v>1.6E-2</v>
      </c>
      <c r="X198" s="1">
        <v>0</v>
      </c>
      <c r="Y198" s="1">
        <v>2E-3</v>
      </c>
      <c r="Z198" s="1">
        <v>0.29299999999999998</v>
      </c>
      <c r="AA198" s="1">
        <v>0.32100000000000001</v>
      </c>
      <c r="AB198" s="1">
        <v>0.25600000000000001</v>
      </c>
      <c r="AC198" s="1">
        <v>0.28299999999999997</v>
      </c>
      <c r="AD198" s="1">
        <v>1E-3</v>
      </c>
      <c r="AE198" s="1">
        <v>3.0000000000000001E-3</v>
      </c>
    </row>
    <row r="199" spans="1:31" x14ac:dyDescent="0.25">
      <c r="A199" t="str">
        <f>B199&amp;VLOOKUP(D199, Lookups!$E$2:$F$8,2,FALSE)&amp;C199</f>
        <v>SCLCScreen detected80-84</v>
      </c>
      <c r="B199" t="s">
        <v>20</v>
      </c>
      <c r="C199" t="s">
        <v>11</v>
      </c>
      <c r="D199" t="s">
        <v>30</v>
      </c>
      <c r="E199" s="1" t="s">
        <v>137</v>
      </c>
      <c r="F199" s="1" t="s">
        <v>137</v>
      </c>
      <c r="G199" s="1" t="s">
        <v>137</v>
      </c>
      <c r="H199" s="1" t="s">
        <v>137</v>
      </c>
      <c r="I199" s="1" t="s">
        <v>137</v>
      </c>
      <c r="J199" s="1" t="s">
        <v>137</v>
      </c>
      <c r="K199" s="1" t="s">
        <v>137</v>
      </c>
      <c r="L199" s="1" t="s">
        <v>137</v>
      </c>
      <c r="M199" s="1">
        <v>0</v>
      </c>
      <c r="N199" s="2">
        <v>0</v>
      </c>
      <c r="P199" s="1"/>
      <c r="Q199" s="1"/>
      <c r="R199" s="1"/>
      <c r="S199" s="1"/>
      <c r="T199" s="1"/>
      <c r="U199" s="1"/>
      <c r="V199" s="1"/>
      <c r="W199" s="1"/>
      <c r="X199" s="1"/>
      <c r="Y199" s="1"/>
      <c r="Z199" s="1"/>
      <c r="AA199" s="1"/>
      <c r="AB199" s="1"/>
      <c r="AC199" s="1"/>
      <c r="AD199" s="1"/>
      <c r="AE199" s="1"/>
    </row>
    <row r="200" spans="1:31" x14ac:dyDescent="0.25">
      <c r="A200" t="str">
        <f>B200&amp;VLOOKUP(D200, Lookups!$E$2:$F$8,2,FALSE)&amp;C200</f>
        <v>SCLCTwo Week Wait80-84</v>
      </c>
      <c r="B200" t="s">
        <v>20</v>
      </c>
      <c r="C200" t="s">
        <v>11</v>
      </c>
      <c r="D200" t="s">
        <v>31</v>
      </c>
      <c r="E200" s="1">
        <v>1.7241379310344827E-2</v>
      </c>
      <c r="F200" s="1">
        <v>0.34482758620689657</v>
      </c>
      <c r="G200" s="1">
        <v>0.1206896551724138</v>
      </c>
      <c r="H200" s="1">
        <v>8.6206896551724137E-3</v>
      </c>
      <c r="I200" s="1">
        <v>0</v>
      </c>
      <c r="J200" s="1">
        <v>0.30172413793103448</v>
      </c>
      <c r="K200" s="1">
        <v>0.20689655172413793</v>
      </c>
      <c r="L200" s="1">
        <v>0</v>
      </c>
      <c r="M200" s="1">
        <v>1</v>
      </c>
      <c r="N200" s="2">
        <v>348</v>
      </c>
      <c r="P200" s="1">
        <v>8.0000000000000002E-3</v>
      </c>
      <c r="Q200" s="1">
        <v>3.6999999999999998E-2</v>
      </c>
      <c r="R200" s="1">
        <v>0.29699999999999999</v>
      </c>
      <c r="S200" s="1">
        <v>0.39600000000000002</v>
      </c>
      <c r="T200" s="1">
        <v>9.0999999999999998E-2</v>
      </c>
      <c r="U200" s="1">
        <v>0.159</v>
      </c>
      <c r="V200" s="1">
        <v>3.0000000000000001E-3</v>
      </c>
      <c r="W200" s="1">
        <v>2.5000000000000001E-2</v>
      </c>
      <c r="X200" s="1">
        <v>0</v>
      </c>
      <c r="Y200" s="1">
        <v>1.0999999999999999E-2</v>
      </c>
      <c r="Z200" s="1">
        <v>0.25600000000000001</v>
      </c>
      <c r="AA200" s="1">
        <v>0.35199999999999998</v>
      </c>
      <c r="AB200" s="1">
        <v>0.16800000000000001</v>
      </c>
      <c r="AC200" s="1">
        <v>0.253</v>
      </c>
      <c r="AD200" s="1">
        <v>0</v>
      </c>
      <c r="AE200" s="1">
        <v>1.0999999999999999E-2</v>
      </c>
    </row>
    <row r="201" spans="1:31" x14ac:dyDescent="0.25">
      <c r="A201" t="str">
        <f>B201&amp;VLOOKUP(D201, Lookups!$E$2:$F$8,2,FALSE)&amp;C201</f>
        <v>SCLCGP referral80-84</v>
      </c>
      <c r="B201" t="s">
        <v>20</v>
      </c>
      <c r="C201" t="s">
        <v>11</v>
      </c>
      <c r="D201" t="s">
        <v>2</v>
      </c>
      <c r="E201" s="1">
        <v>1.3636363636363636E-2</v>
      </c>
      <c r="F201" s="1">
        <v>0.23181818181818181</v>
      </c>
      <c r="G201" s="1">
        <v>0.10909090909090909</v>
      </c>
      <c r="H201" s="1">
        <v>4.5454545454545452E-3</v>
      </c>
      <c r="I201" s="1">
        <v>0</v>
      </c>
      <c r="J201" s="1">
        <v>0.15</v>
      </c>
      <c r="K201" s="1">
        <v>0.49090909090909091</v>
      </c>
      <c r="L201" s="1">
        <v>0</v>
      </c>
      <c r="M201" s="1">
        <v>1</v>
      </c>
      <c r="N201" s="2">
        <v>220</v>
      </c>
      <c r="P201" s="1">
        <v>5.0000000000000001E-3</v>
      </c>
      <c r="Q201" s="1">
        <v>3.9E-2</v>
      </c>
      <c r="R201" s="1">
        <v>0.18099999999999999</v>
      </c>
      <c r="S201" s="1">
        <v>0.29199999999999998</v>
      </c>
      <c r="T201" s="1">
        <v>7.3999999999999996E-2</v>
      </c>
      <c r="U201" s="1">
        <v>0.157</v>
      </c>
      <c r="V201" s="1">
        <v>1E-3</v>
      </c>
      <c r="W201" s="1">
        <v>2.5000000000000001E-2</v>
      </c>
      <c r="X201" s="1">
        <v>0</v>
      </c>
      <c r="Y201" s="1">
        <v>1.7000000000000001E-2</v>
      </c>
      <c r="Z201" s="1">
        <v>0.109</v>
      </c>
      <c r="AA201" s="1">
        <v>0.20300000000000001</v>
      </c>
      <c r="AB201" s="1">
        <v>0.42599999999999999</v>
      </c>
      <c r="AC201" s="1">
        <v>0.55700000000000005</v>
      </c>
      <c r="AD201" s="1">
        <v>0</v>
      </c>
      <c r="AE201" s="1">
        <v>1.7000000000000001E-2</v>
      </c>
    </row>
    <row r="202" spans="1:31" x14ac:dyDescent="0.25">
      <c r="A202" t="str">
        <f>B202&amp;VLOOKUP(D202, Lookups!$E$2:$F$8,2,FALSE)&amp;C202</f>
        <v>SCLCIP &amp; OP80-84</v>
      </c>
      <c r="B202" t="s">
        <v>20</v>
      </c>
      <c r="C202" t="s">
        <v>11</v>
      </c>
      <c r="D202" t="s">
        <v>32</v>
      </c>
      <c r="E202" s="1">
        <v>2.1126760563380281E-2</v>
      </c>
      <c r="F202" s="1">
        <v>0.323943661971831</v>
      </c>
      <c r="G202" s="1">
        <v>0.14788732394366197</v>
      </c>
      <c r="H202" s="1">
        <v>1.4084507042253521E-2</v>
      </c>
      <c r="I202" s="1">
        <v>7.0422535211267607E-3</v>
      </c>
      <c r="J202" s="1">
        <v>0.19014084507042253</v>
      </c>
      <c r="K202" s="1">
        <v>0.29577464788732394</v>
      </c>
      <c r="L202" s="1">
        <v>0</v>
      </c>
      <c r="M202" s="1">
        <v>1</v>
      </c>
      <c r="N202" s="2">
        <v>142</v>
      </c>
      <c r="P202" s="1">
        <v>7.0000000000000001E-3</v>
      </c>
      <c r="Q202" s="1">
        <v>0.06</v>
      </c>
      <c r="R202" s="1">
        <v>0.252</v>
      </c>
      <c r="S202" s="1">
        <v>0.40500000000000003</v>
      </c>
      <c r="T202" s="1">
        <v>9.9000000000000005E-2</v>
      </c>
      <c r="U202" s="1">
        <v>0.216</v>
      </c>
      <c r="V202" s="1">
        <v>4.0000000000000001E-3</v>
      </c>
      <c r="W202" s="1">
        <v>0.05</v>
      </c>
      <c r="X202" s="1">
        <v>1E-3</v>
      </c>
      <c r="Y202" s="1">
        <v>3.9E-2</v>
      </c>
      <c r="Z202" s="1">
        <v>0.13400000000000001</v>
      </c>
      <c r="AA202" s="1">
        <v>0.26300000000000001</v>
      </c>
      <c r="AB202" s="1">
        <v>0.22700000000000001</v>
      </c>
      <c r="AC202" s="1">
        <v>0.375</v>
      </c>
      <c r="AD202" s="1">
        <v>0</v>
      </c>
      <c r="AE202" s="1">
        <v>2.5999999999999999E-2</v>
      </c>
    </row>
    <row r="203" spans="1:31" x14ac:dyDescent="0.25">
      <c r="A203" t="str">
        <f>B203&amp;VLOOKUP(D203, Lookups!$E$2:$F$8,2,FALSE)&amp;C203</f>
        <v>SCLCEmergency presentation80-84</v>
      </c>
      <c r="B203" t="s">
        <v>20</v>
      </c>
      <c r="C203" t="s">
        <v>11</v>
      </c>
      <c r="D203" t="s">
        <v>33</v>
      </c>
      <c r="E203" s="1">
        <v>4.6838407494145199E-3</v>
      </c>
      <c r="F203" s="1">
        <v>0.15456674473067916</v>
      </c>
      <c r="G203" s="1">
        <v>7.4941451990632318E-2</v>
      </c>
      <c r="H203" s="1">
        <v>2.34192037470726E-3</v>
      </c>
      <c r="I203" s="1">
        <v>0</v>
      </c>
      <c r="J203" s="1">
        <v>8.1967213114754092E-2</v>
      </c>
      <c r="K203" s="1">
        <v>0.68149882903981263</v>
      </c>
      <c r="L203" s="1">
        <v>0</v>
      </c>
      <c r="M203" s="1">
        <v>1</v>
      </c>
      <c r="N203" s="2">
        <v>427</v>
      </c>
      <c r="P203" s="1">
        <v>1E-3</v>
      </c>
      <c r="Q203" s="1">
        <v>1.7000000000000001E-2</v>
      </c>
      <c r="R203" s="1">
        <v>0.123</v>
      </c>
      <c r="S203" s="1">
        <v>0.192</v>
      </c>
      <c r="T203" s="1">
        <v>5.3999999999999999E-2</v>
      </c>
      <c r="U203" s="1">
        <v>0.104</v>
      </c>
      <c r="V203" s="1">
        <v>0</v>
      </c>
      <c r="W203" s="1">
        <v>1.2999999999999999E-2</v>
      </c>
      <c r="X203" s="1">
        <v>0</v>
      </c>
      <c r="Y203" s="1">
        <v>8.9999999999999993E-3</v>
      </c>
      <c r="Z203" s="1">
        <v>0.06</v>
      </c>
      <c r="AA203" s="1">
        <v>0.112</v>
      </c>
      <c r="AB203" s="1">
        <v>0.63600000000000001</v>
      </c>
      <c r="AC203" s="1">
        <v>0.72399999999999998</v>
      </c>
      <c r="AD203" s="1">
        <v>0</v>
      </c>
      <c r="AE203" s="1">
        <v>8.9999999999999993E-3</v>
      </c>
    </row>
    <row r="204" spans="1:31" x14ac:dyDescent="0.25">
      <c r="A204" t="str">
        <f>B204&amp;VLOOKUP(D204, Lookups!$E$2:$F$8,2,FALSE)&amp;C204</f>
        <v>SCLCUnknown80-84</v>
      </c>
      <c r="B204" t="s">
        <v>20</v>
      </c>
      <c r="C204" t="s">
        <v>11</v>
      </c>
      <c r="D204" t="s">
        <v>4</v>
      </c>
      <c r="E204" s="1">
        <v>0</v>
      </c>
      <c r="F204" s="1">
        <v>0.2</v>
      </c>
      <c r="G204" s="1">
        <v>0</v>
      </c>
      <c r="H204" s="1">
        <v>0</v>
      </c>
      <c r="I204" s="1" t="s">
        <v>137</v>
      </c>
      <c r="J204" s="1">
        <v>6.6666666666666666E-2</v>
      </c>
      <c r="K204" s="1">
        <v>0.73333333333333328</v>
      </c>
      <c r="L204" s="1" t="s">
        <v>137</v>
      </c>
      <c r="M204" s="1">
        <v>1</v>
      </c>
      <c r="N204" s="2">
        <v>15</v>
      </c>
      <c r="P204" s="1">
        <v>0</v>
      </c>
      <c r="Q204" s="1">
        <v>0.20399999999999999</v>
      </c>
      <c r="R204" s="1">
        <v>7.0000000000000007E-2</v>
      </c>
      <c r="S204" s="1">
        <v>0.45200000000000001</v>
      </c>
      <c r="T204" s="1">
        <v>0</v>
      </c>
      <c r="U204" s="1">
        <v>0.20399999999999999</v>
      </c>
      <c r="V204" s="1">
        <v>0</v>
      </c>
      <c r="W204" s="1">
        <v>0.20399999999999999</v>
      </c>
      <c r="X204" s="1"/>
      <c r="Y204" s="1"/>
      <c r="Z204" s="1">
        <v>1.2E-2</v>
      </c>
      <c r="AA204" s="1">
        <v>0.29799999999999999</v>
      </c>
      <c r="AB204" s="1">
        <v>0.48</v>
      </c>
      <c r="AC204" s="1">
        <v>0.89100000000000001</v>
      </c>
      <c r="AD204" s="1"/>
      <c r="AE204" s="1"/>
    </row>
    <row r="205" spans="1:31" x14ac:dyDescent="0.25">
      <c r="A205" t="str">
        <f>B205&amp;VLOOKUP(D205, Lookups!$E$2:$F$8,2,FALSE)&amp;C205</f>
        <v>SCLCAll Routes80-84</v>
      </c>
      <c r="B205" t="s">
        <v>20</v>
      </c>
      <c r="C205" t="s">
        <v>11</v>
      </c>
      <c r="D205" t="s">
        <v>34</v>
      </c>
      <c r="E205" s="1">
        <v>1.2152777777777778E-2</v>
      </c>
      <c r="F205" s="1">
        <v>0.2482638888888889</v>
      </c>
      <c r="G205" s="1">
        <v>0.1032986111111111</v>
      </c>
      <c r="H205" s="1">
        <v>6.076388888888889E-3</v>
      </c>
      <c r="I205" s="1">
        <v>8.6805555555555551E-4</v>
      </c>
      <c r="J205" s="1">
        <v>0.17447916666666666</v>
      </c>
      <c r="K205" s="1">
        <v>0.4548611111111111</v>
      </c>
      <c r="L205" s="1">
        <v>0</v>
      </c>
      <c r="M205" s="1">
        <v>1</v>
      </c>
      <c r="N205" s="2">
        <v>1152</v>
      </c>
      <c r="P205" s="1">
        <v>7.0000000000000001E-3</v>
      </c>
      <c r="Q205" s="1">
        <v>0.02</v>
      </c>
      <c r="R205" s="1">
        <v>0.224</v>
      </c>
      <c r="S205" s="1">
        <v>0.27400000000000002</v>
      </c>
      <c r="T205" s="1">
        <v>8.6999999999999994E-2</v>
      </c>
      <c r="U205" s="1">
        <v>0.122</v>
      </c>
      <c r="V205" s="1">
        <v>3.0000000000000001E-3</v>
      </c>
      <c r="W205" s="1">
        <v>1.2E-2</v>
      </c>
      <c r="X205" s="1">
        <v>0</v>
      </c>
      <c r="Y205" s="1">
        <v>5.0000000000000001E-3</v>
      </c>
      <c r="Z205" s="1">
        <v>0.154</v>
      </c>
      <c r="AA205" s="1">
        <v>0.19700000000000001</v>
      </c>
      <c r="AB205" s="1">
        <v>0.42599999999999999</v>
      </c>
      <c r="AC205" s="1">
        <v>0.48399999999999999</v>
      </c>
      <c r="AD205" s="1">
        <v>0</v>
      </c>
      <c r="AE205" s="1">
        <v>3.0000000000000001E-3</v>
      </c>
    </row>
    <row r="206" spans="1:31" x14ac:dyDescent="0.25">
      <c r="A206" t="str">
        <f>B206&amp;VLOOKUP(D206, Lookups!$E$2:$F$8,2,FALSE)&amp;C206</f>
        <v>SCLCScreen detected85+</v>
      </c>
      <c r="B206" t="s">
        <v>20</v>
      </c>
      <c r="C206" t="s">
        <v>12</v>
      </c>
      <c r="D206" t="s">
        <v>30</v>
      </c>
      <c r="E206" s="1" t="s">
        <v>137</v>
      </c>
      <c r="F206" s="1" t="s">
        <v>137</v>
      </c>
      <c r="G206" s="1" t="s">
        <v>137</v>
      </c>
      <c r="H206" s="1" t="s">
        <v>137</v>
      </c>
      <c r="I206" s="1" t="s">
        <v>137</v>
      </c>
      <c r="J206" s="1" t="s">
        <v>137</v>
      </c>
      <c r="K206" s="1" t="s">
        <v>137</v>
      </c>
      <c r="L206" s="1" t="s">
        <v>137</v>
      </c>
      <c r="M206" s="1">
        <v>0</v>
      </c>
      <c r="N206" s="2">
        <v>0</v>
      </c>
      <c r="P206" s="1"/>
      <c r="Q206" s="1"/>
      <c r="R206" s="1"/>
      <c r="S206" s="1"/>
      <c r="T206" s="1"/>
      <c r="U206" s="1"/>
      <c r="V206" s="1"/>
      <c r="W206" s="1"/>
      <c r="X206" s="1"/>
      <c r="Y206" s="1"/>
      <c r="Z206" s="1"/>
      <c r="AA206" s="1"/>
      <c r="AB206" s="1"/>
      <c r="AC206" s="1"/>
      <c r="AD206" s="1"/>
      <c r="AE206" s="1"/>
    </row>
    <row r="207" spans="1:31" x14ac:dyDescent="0.25">
      <c r="A207" t="str">
        <f>B207&amp;VLOOKUP(D207, Lookups!$E$2:$F$8,2,FALSE)&amp;C207</f>
        <v>SCLCTwo Week Wait85+</v>
      </c>
      <c r="B207" t="s">
        <v>20</v>
      </c>
      <c r="C207" t="s">
        <v>12</v>
      </c>
      <c r="D207" t="s">
        <v>31</v>
      </c>
      <c r="E207" s="1">
        <v>0</v>
      </c>
      <c r="F207" s="1">
        <v>0.24242424242424243</v>
      </c>
      <c r="G207" s="1">
        <v>0.20202020202020202</v>
      </c>
      <c r="H207" s="1">
        <v>0</v>
      </c>
      <c r="I207" s="1">
        <v>0</v>
      </c>
      <c r="J207" s="1">
        <v>0.15151515151515152</v>
      </c>
      <c r="K207" s="1">
        <v>0.40404040404040403</v>
      </c>
      <c r="L207" s="1">
        <v>0</v>
      </c>
      <c r="M207" s="1">
        <v>1</v>
      </c>
      <c r="N207" s="2">
        <v>99</v>
      </c>
      <c r="P207" s="1">
        <v>0</v>
      </c>
      <c r="Q207" s="1">
        <v>3.6999999999999998E-2</v>
      </c>
      <c r="R207" s="1">
        <v>0.16900000000000001</v>
      </c>
      <c r="S207" s="1">
        <v>0.33500000000000002</v>
      </c>
      <c r="T207" s="1">
        <v>0.13500000000000001</v>
      </c>
      <c r="U207" s="1">
        <v>0.29199999999999998</v>
      </c>
      <c r="V207" s="1">
        <v>0</v>
      </c>
      <c r="W207" s="1">
        <v>3.6999999999999998E-2</v>
      </c>
      <c r="X207" s="1">
        <v>0</v>
      </c>
      <c r="Y207" s="1">
        <v>3.6999999999999998E-2</v>
      </c>
      <c r="Z207" s="1">
        <v>9.4E-2</v>
      </c>
      <c r="AA207" s="1">
        <v>0.23499999999999999</v>
      </c>
      <c r="AB207" s="1">
        <v>0.313</v>
      </c>
      <c r="AC207" s="1">
        <v>0.503</v>
      </c>
      <c r="AD207" s="1">
        <v>0</v>
      </c>
      <c r="AE207" s="1">
        <v>3.6999999999999998E-2</v>
      </c>
    </row>
    <row r="208" spans="1:31" x14ac:dyDescent="0.25">
      <c r="A208" t="str">
        <f>B208&amp;VLOOKUP(D208, Lookups!$E$2:$F$8,2,FALSE)&amp;C208</f>
        <v>SCLCGP referral85+</v>
      </c>
      <c r="B208" t="s">
        <v>20</v>
      </c>
      <c r="C208" t="s">
        <v>12</v>
      </c>
      <c r="D208" t="s">
        <v>2</v>
      </c>
      <c r="E208" s="1">
        <v>0</v>
      </c>
      <c r="F208" s="1">
        <v>0.13513513513513514</v>
      </c>
      <c r="G208" s="1">
        <v>0.24324324324324326</v>
      </c>
      <c r="H208" s="1">
        <v>0</v>
      </c>
      <c r="I208" s="1">
        <v>0</v>
      </c>
      <c r="J208" s="1">
        <v>8.1081081081081086E-2</v>
      </c>
      <c r="K208" s="1">
        <v>0.54054054054054057</v>
      </c>
      <c r="L208" s="1">
        <v>0</v>
      </c>
      <c r="M208" s="1">
        <v>1</v>
      </c>
      <c r="N208" s="2">
        <v>74</v>
      </c>
      <c r="P208" s="1">
        <v>0</v>
      </c>
      <c r="Q208" s="1">
        <v>4.9000000000000002E-2</v>
      </c>
      <c r="R208" s="1">
        <v>7.4999999999999997E-2</v>
      </c>
      <c r="S208" s="1">
        <v>0.23100000000000001</v>
      </c>
      <c r="T208" s="1">
        <v>0.16</v>
      </c>
      <c r="U208" s="1">
        <v>0.35199999999999998</v>
      </c>
      <c r="V208" s="1">
        <v>0</v>
      </c>
      <c r="W208" s="1">
        <v>4.9000000000000002E-2</v>
      </c>
      <c r="X208" s="1">
        <v>0</v>
      </c>
      <c r="Y208" s="1">
        <v>4.9000000000000002E-2</v>
      </c>
      <c r="Z208" s="1">
        <v>3.7999999999999999E-2</v>
      </c>
      <c r="AA208" s="1">
        <v>0.16600000000000001</v>
      </c>
      <c r="AB208" s="1">
        <v>0.42799999999999999</v>
      </c>
      <c r="AC208" s="1">
        <v>0.64900000000000002</v>
      </c>
      <c r="AD208" s="1">
        <v>0</v>
      </c>
      <c r="AE208" s="1">
        <v>4.9000000000000002E-2</v>
      </c>
    </row>
    <row r="209" spans="1:31" x14ac:dyDescent="0.25">
      <c r="A209" t="str">
        <f>B209&amp;VLOOKUP(D209, Lookups!$E$2:$F$8,2,FALSE)&amp;C209</f>
        <v>SCLCIP &amp; OP85+</v>
      </c>
      <c r="B209" t="s">
        <v>20</v>
      </c>
      <c r="C209" t="s">
        <v>12</v>
      </c>
      <c r="D209" t="s">
        <v>32</v>
      </c>
      <c r="E209" s="1">
        <v>0</v>
      </c>
      <c r="F209" s="1">
        <v>0.24489795918367346</v>
      </c>
      <c r="G209" s="1">
        <v>0.12244897959183673</v>
      </c>
      <c r="H209" s="1">
        <v>0</v>
      </c>
      <c r="I209" s="1">
        <v>0</v>
      </c>
      <c r="J209" s="1">
        <v>0.10204081632653061</v>
      </c>
      <c r="K209" s="1">
        <v>0.53061224489795922</v>
      </c>
      <c r="L209" s="1">
        <v>0</v>
      </c>
      <c r="M209" s="1">
        <v>1</v>
      </c>
      <c r="N209" s="2">
        <v>49</v>
      </c>
      <c r="P209" s="1">
        <v>0</v>
      </c>
      <c r="Q209" s="1">
        <v>7.2999999999999995E-2</v>
      </c>
      <c r="R209" s="1">
        <v>0.14599999999999999</v>
      </c>
      <c r="S209" s="1">
        <v>0.38100000000000001</v>
      </c>
      <c r="T209" s="1">
        <v>5.7000000000000002E-2</v>
      </c>
      <c r="U209" s="1">
        <v>0.24199999999999999</v>
      </c>
      <c r="V209" s="1">
        <v>0</v>
      </c>
      <c r="W209" s="1">
        <v>7.2999999999999995E-2</v>
      </c>
      <c r="X209" s="1">
        <v>0</v>
      </c>
      <c r="Y209" s="1">
        <v>7.2999999999999995E-2</v>
      </c>
      <c r="Z209" s="1">
        <v>4.3999999999999997E-2</v>
      </c>
      <c r="AA209" s="1">
        <v>0.218</v>
      </c>
      <c r="AB209" s="1">
        <v>0.39400000000000002</v>
      </c>
      <c r="AC209" s="1">
        <v>0.66300000000000003</v>
      </c>
      <c r="AD209" s="1">
        <v>0</v>
      </c>
      <c r="AE209" s="1">
        <v>7.2999999999999995E-2</v>
      </c>
    </row>
    <row r="210" spans="1:31" x14ac:dyDescent="0.25">
      <c r="A210" t="str">
        <f>B210&amp;VLOOKUP(D210, Lookups!$E$2:$F$8,2,FALSE)&amp;C210</f>
        <v>SCLCEmergency presentation85+</v>
      </c>
      <c r="B210" t="s">
        <v>20</v>
      </c>
      <c r="C210" t="s">
        <v>12</v>
      </c>
      <c r="D210" t="s">
        <v>33</v>
      </c>
      <c r="E210" s="1">
        <v>0</v>
      </c>
      <c r="F210" s="1">
        <v>0.108</v>
      </c>
      <c r="G210" s="1">
        <v>5.6000000000000001E-2</v>
      </c>
      <c r="H210" s="1">
        <v>0</v>
      </c>
      <c r="I210" s="1">
        <v>0</v>
      </c>
      <c r="J210" s="1">
        <v>0.02</v>
      </c>
      <c r="K210" s="1">
        <v>0.81599999999999995</v>
      </c>
      <c r="L210" s="1">
        <v>0</v>
      </c>
      <c r="M210" s="1">
        <v>1</v>
      </c>
      <c r="N210" s="2">
        <v>250</v>
      </c>
      <c r="P210" s="1">
        <v>0</v>
      </c>
      <c r="Q210" s="1">
        <v>1.4999999999999999E-2</v>
      </c>
      <c r="R210" s="1">
        <v>7.4999999999999997E-2</v>
      </c>
      <c r="S210" s="1">
        <v>0.153</v>
      </c>
      <c r="T210" s="1">
        <v>3.4000000000000002E-2</v>
      </c>
      <c r="U210" s="1">
        <v>9.1999999999999998E-2</v>
      </c>
      <c r="V210" s="1">
        <v>0</v>
      </c>
      <c r="W210" s="1">
        <v>1.4999999999999999E-2</v>
      </c>
      <c r="X210" s="1">
        <v>0</v>
      </c>
      <c r="Y210" s="1">
        <v>1.4999999999999999E-2</v>
      </c>
      <c r="Z210" s="1">
        <v>8.9999999999999993E-3</v>
      </c>
      <c r="AA210" s="1">
        <v>4.5999999999999999E-2</v>
      </c>
      <c r="AB210" s="1">
        <v>0.76300000000000001</v>
      </c>
      <c r="AC210" s="1">
        <v>0.85899999999999999</v>
      </c>
      <c r="AD210" s="1">
        <v>0</v>
      </c>
      <c r="AE210" s="1">
        <v>1.4999999999999999E-2</v>
      </c>
    </row>
    <row r="211" spans="1:31" x14ac:dyDescent="0.25">
      <c r="A211" t="str">
        <f>B211&amp;VLOOKUP(D211, Lookups!$E$2:$F$8,2,FALSE)&amp;C211</f>
        <v>SCLCUnknown85+</v>
      </c>
      <c r="B211" t="s">
        <v>20</v>
      </c>
      <c r="C211" t="s">
        <v>12</v>
      </c>
      <c r="D211" t="s">
        <v>4</v>
      </c>
      <c r="E211" s="1">
        <v>0</v>
      </c>
      <c r="F211" s="1">
        <v>7.6923076923076927E-2</v>
      </c>
      <c r="G211" s="1">
        <v>0.15384615384615385</v>
      </c>
      <c r="H211" s="1">
        <v>0</v>
      </c>
      <c r="I211" s="1" t="s">
        <v>137</v>
      </c>
      <c r="J211" s="1">
        <v>7.6923076923076927E-2</v>
      </c>
      <c r="K211" s="1">
        <v>0.69230769230769229</v>
      </c>
      <c r="L211" s="1" t="s">
        <v>137</v>
      </c>
      <c r="M211" s="1">
        <v>1</v>
      </c>
      <c r="N211" s="2">
        <v>13</v>
      </c>
      <c r="P211" s="1">
        <v>0</v>
      </c>
      <c r="Q211" s="1">
        <v>0.22800000000000001</v>
      </c>
      <c r="R211" s="1">
        <v>1.4E-2</v>
      </c>
      <c r="S211" s="1">
        <v>0.33300000000000002</v>
      </c>
      <c r="T211" s="1">
        <v>4.2999999999999997E-2</v>
      </c>
      <c r="U211" s="1">
        <v>0.42199999999999999</v>
      </c>
      <c r="V211" s="1">
        <v>0</v>
      </c>
      <c r="W211" s="1">
        <v>0.22800000000000001</v>
      </c>
      <c r="X211" s="1"/>
      <c r="Y211" s="1"/>
      <c r="Z211" s="1">
        <v>1.4E-2</v>
      </c>
      <c r="AA211" s="1">
        <v>0.33300000000000002</v>
      </c>
      <c r="AB211" s="1">
        <v>0.42399999999999999</v>
      </c>
      <c r="AC211" s="1">
        <v>0.873</v>
      </c>
      <c r="AD211" s="1"/>
      <c r="AE211" s="1"/>
    </row>
    <row r="212" spans="1:31" x14ac:dyDescent="0.25">
      <c r="A212" t="str">
        <f>B212&amp;VLOOKUP(D212, Lookups!$E$2:$F$8,2,FALSE)&amp;C212</f>
        <v>SCLCAll Routes85+</v>
      </c>
      <c r="B212" t="s">
        <v>20</v>
      </c>
      <c r="C212" t="s">
        <v>12</v>
      </c>
      <c r="D212" t="s">
        <v>34</v>
      </c>
      <c r="E212" s="1">
        <v>0</v>
      </c>
      <c r="F212" s="1">
        <v>0.15257731958762888</v>
      </c>
      <c r="G212" s="1">
        <v>0.12371134020618557</v>
      </c>
      <c r="H212" s="1">
        <v>0</v>
      </c>
      <c r="I212" s="1">
        <v>0</v>
      </c>
      <c r="J212" s="1">
        <v>6.5979381443298971E-2</v>
      </c>
      <c r="K212" s="1">
        <v>0.65773195876288659</v>
      </c>
      <c r="L212" s="1">
        <v>0</v>
      </c>
      <c r="M212" s="1">
        <v>1</v>
      </c>
      <c r="N212" s="2">
        <v>485</v>
      </c>
      <c r="P212" s="1">
        <v>0</v>
      </c>
      <c r="Q212" s="1">
        <v>8.0000000000000002E-3</v>
      </c>
      <c r="R212" s="1">
        <v>0.123</v>
      </c>
      <c r="S212" s="1">
        <v>0.187</v>
      </c>
      <c r="T212" s="1">
        <v>9.7000000000000003E-2</v>
      </c>
      <c r="U212" s="1">
        <v>0.156</v>
      </c>
      <c r="V212" s="1">
        <v>0</v>
      </c>
      <c r="W212" s="1">
        <v>8.0000000000000002E-3</v>
      </c>
      <c r="X212" s="1">
        <v>0</v>
      </c>
      <c r="Y212" s="1">
        <v>8.0000000000000002E-3</v>
      </c>
      <c r="Z212" s="1">
        <v>4.7E-2</v>
      </c>
      <c r="AA212" s="1">
        <v>9.1999999999999998E-2</v>
      </c>
      <c r="AB212" s="1">
        <v>0.61399999999999999</v>
      </c>
      <c r="AC212" s="1">
        <v>0.69899999999999995</v>
      </c>
      <c r="AD212" s="1">
        <v>0</v>
      </c>
      <c r="AE212" s="1">
        <v>8.0000000000000002E-3</v>
      </c>
    </row>
    <row r="213" spans="1:31" x14ac:dyDescent="0.25">
      <c r="A213" t="str">
        <f>B213&amp;VLOOKUP(D213, Lookups!$E$2:$F$8,2,FALSE)&amp;C213</f>
        <v>ProstateScreen detectedUnder 50</v>
      </c>
      <c r="B213" t="s">
        <v>21</v>
      </c>
      <c r="C213" t="s">
        <v>7</v>
      </c>
      <c r="D213" t="s">
        <v>30</v>
      </c>
      <c r="E213" s="1" t="s">
        <v>137</v>
      </c>
      <c r="F213" s="1" t="s">
        <v>137</v>
      </c>
      <c r="G213" s="1" t="s">
        <v>137</v>
      </c>
      <c r="H213" s="1" t="s">
        <v>137</v>
      </c>
      <c r="I213" s="1" t="s">
        <v>137</v>
      </c>
      <c r="J213" s="1" t="s">
        <v>137</v>
      </c>
      <c r="K213" s="1" t="s">
        <v>137</v>
      </c>
      <c r="L213" s="1" t="s">
        <v>137</v>
      </c>
      <c r="M213" s="1">
        <v>0</v>
      </c>
      <c r="N213" s="2">
        <v>0</v>
      </c>
      <c r="P213" s="1"/>
      <c r="Q213" s="1"/>
      <c r="R213" s="1"/>
      <c r="S213" s="1"/>
      <c r="T213" s="1"/>
      <c r="U213" s="1"/>
      <c r="V213" s="1"/>
      <c r="W213" s="1"/>
      <c r="X213" s="1"/>
      <c r="Y213" s="1"/>
      <c r="Z213" s="1"/>
      <c r="AA213" s="1"/>
      <c r="AB213" s="1"/>
      <c r="AC213" s="1"/>
      <c r="AD213" s="1"/>
      <c r="AE213" s="1"/>
    </row>
    <row r="214" spans="1:31" x14ac:dyDescent="0.25">
      <c r="A214" t="str">
        <f>B214&amp;VLOOKUP(D214, Lookups!$E$2:$F$8,2,FALSE)&amp;C214</f>
        <v>ProstateTwo Week WaitUnder 50</v>
      </c>
      <c r="B214" t="s">
        <v>21</v>
      </c>
      <c r="C214" t="s">
        <v>7</v>
      </c>
      <c r="D214" t="s">
        <v>31</v>
      </c>
      <c r="E214" s="1">
        <v>0.39047619047619048</v>
      </c>
      <c r="F214" s="1">
        <v>2.4761904761904763E-2</v>
      </c>
      <c r="G214" s="1">
        <v>0.12380952380952381</v>
      </c>
      <c r="H214" s="1">
        <v>3.8095238095238095E-3</v>
      </c>
      <c r="I214" s="1">
        <v>5.3333333333333337E-2</v>
      </c>
      <c r="J214" s="1">
        <v>3.619047619047619E-2</v>
      </c>
      <c r="K214" s="1">
        <v>0.36571428571428571</v>
      </c>
      <c r="L214" s="1">
        <v>1.9047619047619048E-3</v>
      </c>
      <c r="M214" s="1">
        <v>1</v>
      </c>
      <c r="N214" s="2">
        <v>525</v>
      </c>
      <c r="P214" s="1">
        <v>0.35</v>
      </c>
      <c r="Q214" s="1">
        <v>0.433</v>
      </c>
      <c r="R214" s="1">
        <v>1.4999999999999999E-2</v>
      </c>
      <c r="S214" s="1">
        <v>4.2000000000000003E-2</v>
      </c>
      <c r="T214" s="1">
        <v>9.8000000000000004E-2</v>
      </c>
      <c r="U214" s="1">
        <v>0.155</v>
      </c>
      <c r="V214" s="1">
        <v>1E-3</v>
      </c>
      <c r="W214" s="1">
        <v>1.4E-2</v>
      </c>
      <c r="X214" s="1">
        <v>3.6999999999999998E-2</v>
      </c>
      <c r="Y214" s="1">
        <v>7.5999999999999998E-2</v>
      </c>
      <c r="Z214" s="1">
        <v>2.3E-2</v>
      </c>
      <c r="AA214" s="1">
        <v>5.6000000000000001E-2</v>
      </c>
      <c r="AB214" s="1">
        <v>0.32600000000000001</v>
      </c>
      <c r="AC214" s="1">
        <v>0.40799999999999997</v>
      </c>
      <c r="AD214" s="1">
        <v>0</v>
      </c>
      <c r="AE214" s="1">
        <v>1.0999999999999999E-2</v>
      </c>
    </row>
    <row r="215" spans="1:31" x14ac:dyDescent="0.25">
      <c r="A215" t="str">
        <f>B215&amp;VLOOKUP(D215, Lookups!$E$2:$F$8,2,FALSE)&amp;C215</f>
        <v>ProstateGP referralUnder 50</v>
      </c>
      <c r="B215" t="s">
        <v>21</v>
      </c>
      <c r="C215" t="s">
        <v>7</v>
      </c>
      <c r="D215" t="s">
        <v>2</v>
      </c>
      <c r="E215" s="1">
        <v>0.49469964664310956</v>
      </c>
      <c r="F215" s="1">
        <v>1.9434628975265017E-2</v>
      </c>
      <c r="G215" s="1">
        <v>6.3604240282685506E-2</v>
      </c>
      <c r="H215" s="1">
        <v>7.0671378091872791E-3</v>
      </c>
      <c r="I215" s="1">
        <v>2.6501766784452298E-2</v>
      </c>
      <c r="J215" s="1">
        <v>1.7667844522968199E-2</v>
      </c>
      <c r="K215" s="1">
        <v>0.37102473498233218</v>
      </c>
      <c r="L215" s="1">
        <v>0</v>
      </c>
      <c r="M215" s="1">
        <v>1</v>
      </c>
      <c r="N215" s="2">
        <v>566</v>
      </c>
      <c r="P215" s="1">
        <v>0.45400000000000001</v>
      </c>
      <c r="Q215" s="1">
        <v>0.53600000000000003</v>
      </c>
      <c r="R215" s="1">
        <v>1.0999999999999999E-2</v>
      </c>
      <c r="S215" s="1">
        <v>3.4000000000000002E-2</v>
      </c>
      <c r="T215" s="1">
        <v>4.5999999999999999E-2</v>
      </c>
      <c r="U215" s="1">
        <v>8.6999999999999994E-2</v>
      </c>
      <c r="V215" s="1">
        <v>3.0000000000000001E-3</v>
      </c>
      <c r="W215" s="1">
        <v>1.7999999999999999E-2</v>
      </c>
      <c r="X215" s="1">
        <v>1.6E-2</v>
      </c>
      <c r="Y215" s="1">
        <v>4.2999999999999997E-2</v>
      </c>
      <c r="Z215" s="1">
        <v>0.01</v>
      </c>
      <c r="AA215" s="1">
        <v>3.2000000000000001E-2</v>
      </c>
      <c r="AB215" s="1">
        <v>0.33200000000000002</v>
      </c>
      <c r="AC215" s="1">
        <v>0.41199999999999998</v>
      </c>
      <c r="AD215" s="1">
        <v>0</v>
      </c>
      <c r="AE215" s="1">
        <v>7.0000000000000001E-3</v>
      </c>
    </row>
    <row r="216" spans="1:31" x14ac:dyDescent="0.25">
      <c r="A216" t="str">
        <f>B216&amp;VLOOKUP(D216, Lookups!$E$2:$F$8,2,FALSE)&amp;C216</f>
        <v>ProstateIP &amp; OPUnder 50</v>
      </c>
      <c r="B216" t="s">
        <v>21</v>
      </c>
      <c r="C216" t="s">
        <v>7</v>
      </c>
      <c r="D216" t="s">
        <v>32</v>
      </c>
      <c r="E216" s="1">
        <v>0.44247787610619471</v>
      </c>
      <c r="F216" s="1">
        <v>8.8495575221238937E-3</v>
      </c>
      <c r="G216" s="1">
        <v>1.7699115044247787E-2</v>
      </c>
      <c r="H216" s="1">
        <v>8.8495575221238937E-3</v>
      </c>
      <c r="I216" s="1">
        <v>6.1946902654867256E-2</v>
      </c>
      <c r="J216" s="1">
        <v>3.5398230088495575E-2</v>
      </c>
      <c r="K216" s="1">
        <v>0.4247787610619469</v>
      </c>
      <c r="L216" s="1">
        <v>0</v>
      </c>
      <c r="M216" s="1">
        <v>1</v>
      </c>
      <c r="N216" s="2">
        <v>113</v>
      </c>
      <c r="P216" s="1">
        <v>0.35399999999999998</v>
      </c>
      <c r="Q216" s="1">
        <v>0.53400000000000003</v>
      </c>
      <c r="R216" s="1">
        <v>2E-3</v>
      </c>
      <c r="S216" s="1">
        <v>4.8000000000000001E-2</v>
      </c>
      <c r="T216" s="1">
        <v>5.0000000000000001E-3</v>
      </c>
      <c r="U216" s="1">
        <v>6.2E-2</v>
      </c>
      <c r="V216" s="1">
        <v>2E-3</v>
      </c>
      <c r="W216" s="1">
        <v>4.8000000000000001E-2</v>
      </c>
      <c r="X216" s="1">
        <v>0.03</v>
      </c>
      <c r="Y216" s="1">
        <v>0.122</v>
      </c>
      <c r="Z216" s="1">
        <v>1.4E-2</v>
      </c>
      <c r="AA216" s="1">
        <v>8.6999999999999994E-2</v>
      </c>
      <c r="AB216" s="1">
        <v>0.33800000000000002</v>
      </c>
      <c r="AC216" s="1">
        <v>0.51700000000000002</v>
      </c>
      <c r="AD216" s="1">
        <v>0</v>
      </c>
      <c r="AE216" s="1">
        <v>3.3000000000000002E-2</v>
      </c>
    </row>
    <row r="217" spans="1:31" x14ac:dyDescent="0.25">
      <c r="A217" t="str">
        <f>B217&amp;VLOOKUP(D217, Lookups!$E$2:$F$8,2,FALSE)&amp;C217</f>
        <v>ProstateEmergency presentationUnder 50</v>
      </c>
      <c r="B217" t="s">
        <v>21</v>
      </c>
      <c r="C217" t="s">
        <v>7</v>
      </c>
      <c r="D217" t="s">
        <v>33</v>
      </c>
      <c r="E217" s="1">
        <v>6.9767441860465115E-2</v>
      </c>
      <c r="F217" s="1">
        <v>9.3023255813953487E-2</v>
      </c>
      <c r="G217" s="1">
        <v>0.16279069767441862</v>
      </c>
      <c r="H217" s="1">
        <v>2.3255813953488372E-2</v>
      </c>
      <c r="I217" s="1">
        <v>0</v>
      </c>
      <c r="J217" s="1">
        <v>0.20930232558139536</v>
      </c>
      <c r="K217" s="1">
        <v>0.44186046511627908</v>
      </c>
      <c r="L217" s="1">
        <v>0</v>
      </c>
      <c r="M217" s="1">
        <v>1</v>
      </c>
      <c r="N217" s="2">
        <v>43</v>
      </c>
      <c r="P217" s="1">
        <v>2.4E-2</v>
      </c>
      <c r="Q217" s="1">
        <v>0.186</v>
      </c>
      <c r="R217" s="1">
        <v>3.6999999999999998E-2</v>
      </c>
      <c r="S217" s="1">
        <v>0.216</v>
      </c>
      <c r="T217" s="1">
        <v>8.1000000000000003E-2</v>
      </c>
      <c r="U217" s="1">
        <v>0.3</v>
      </c>
      <c r="V217" s="1">
        <v>4.0000000000000001E-3</v>
      </c>
      <c r="W217" s="1">
        <v>0.121</v>
      </c>
      <c r="X217" s="1">
        <v>0</v>
      </c>
      <c r="Y217" s="1">
        <v>8.2000000000000003E-2</v>
      </c>
      <c r="Z217" s="1">
        <v>0.114</v>
      </c>
      <c r="AA217" s="1">
        <v>0.35199999999999998</v>
      </c>
      <c r="AB217" s="1">
        <v>0.30399999999999999</v>
      </c>
      <c r="AC217" s="1">
        <v>0.58899999999999997</v>
      </c>
      <c r="AD217" s="1">
        <v>0</v>
      </c>
      <c r="AE217" s="1">
        <v>8.2000000000000003E-2</v>
      </c>
    </row>
    <row r="218" spans="1:31" x14ac:dyDescent="0.25">
      <c r="A218" t="str">
        <f>B218&amp;VLOOKUP(D218, Lookups!$E$2:$F$8,2,FALSE)&amp;C218</f>
        <v>ProstateUnknownUnder 50</v>
      </c>
      <c r="B218" t="s">
        <v>21</v>
      </c>
      <c r="C218" t="s">
        <v>7</v>
      </c>
      <c r="D218" t="s">
        <v>4</v>
      </c>
      <c r="E218" s="1">
        <v>0.33734939759036142</v>
      </c>
      <c r="F218" s="1">
        <v>2.4096385542168676E-2</v>
      </c>
      <c r="G218" s="1">
        <v>4.8192771084337352E-2</v>
      </c>
      <c r="H218" s="1">
        <v>0</v>
      </c>
      <c r="I218" s="1">
        <v>1.2048192771084338E-2</v>
      </c>
      <c r="J218" s="1">
        <v>1.2048192771084338E-2</v>
      </c>
      <c r="K218" s="1">
        <v>0.5662650602409639</v>
      </c>
      <c r="L218" s="1" t="s">
        <v>137</v>
      </c>
      <c r="M218" s="1">
        <v>1</v>
      </c>
      <c r="N218" s="2">
        <v>83</v>
      </c>
      <c r="P218" s="1">
        <v>0.245</v>
      </c>
      <c r="Q218" s="1">
        <v>0.44400000000000001</v>
      </c>
      <c r="R218" s="1">
        <v>7.0000000000000001E-3</v>
      </c>
      <c r="S218" s="1">
        <v>8.4000000000000005E-2</v>
      </c>
      <c r="T218" s="1">
        <v>1.9E-2</v>
      </c>
      <c r="U218" s="1">
        <v>0.11700000000000001</v>
      </c>
      <c r="V218" s="1">
        <v>0</v>
      </c>
      <c r="W218" s="1">
        <v>4.3999999999999997E-2</v>
      </c>
      <c r="X218" s="1">
        <v>2E-3</v>
      </c>
      <c r="Y218" s="1">
        <v>6.5000000000000002E-2</v>
      </c>
      <c r="Z218" s="1">
        <v>2E-3</v>
      </c>
      <c r="AA218" s="1">
        <v>6.5000000000000002E-2</v>
      </c>
      <c r="AB218" s="1">
        <v>0.45900000000000002</v>
      </c>
      <c r="AC218" s="1">
        <v>0.66800000000000004</v>
      </c>
      <c r="AD218" s="1"/>
      <c r="AE218" s="1"/>
    </row>
    <row r="219" spans="1:31" x14ac:dyDescent="0.25">
      <c r="A219" t="str">
        <f>B219&amp;VLOOKUP(D219, Lookups!$E$2:$F$8,2,FALSE)&amp;C219</f>
        <v>ProstateAll RoutesUnder 50</v>
      </c>
      <c r="B219" t="s">
        <v>21</v>
      </c>
      <c r="C219" t="s">
        <v>7</v>
      </c>
      <c r="D219" t="s">
        <v>34</v>
      </c>
      <c r="E219" s="1">
        <v>0.42556390977443609</v>
      </c>
      <c r="F219" s="1">
        <v>2.3308270676691729E-2</v>
      </c>
      <c r="G219" s="1">
        <v>8.5714285714285715E-2</v>
      </c>
      <c r="H219" s="1">
        <v>6.0150375939849628E-3</v>
      </c>
      <c r="I219" s="1">
        <v>3.8345864661654135E-2</v>
      </c>
      <c r="J219" s="1">
        <v>3.2330827067669175E-2</v>
      </c>
      <c r="K219" s="1">
        <v>0.38796992481203008</v>
      </c>
      <c r="L219" s="1">
        <v>7.5187969924812035E-4</v>
      </c>
      <c r="M219" s="1">
        <v>1</v>
      </c>
      <c r="N219" s="2">
        <v>1330</v>
      </c>
      <c r="P219" s="1">
        <v>0.39900000000000002</v>
      </c>
      <c r="Q219" s="1">
        <v>0.45200000000000001</v>
      </c>
      <c r="R219" s="1">
        <v>1.6E-2</v>
      </c>
      <c r="S219" s="1">
        <v>3.3000000000000002E-2</v>
      </c>
      <c r="T219" s="1">
        <v>7.1999999999999995E-2</v>
      </c>
      <c r="U219" s="1">
        <v>0.10199999999999999</v>
      </c>
      <c r="V219" s="1">
        <v>3.0000000000000001E-3</v>
      </c>
      <c r="W219" s="1">
        <v>1.2E-2</v>
      </c>
      <c r="X219" s="1">
        <v>2.9000000000000001E-2</v>
      </c>
      <c r="Y219" s="1">
        <v>0.05</v>
      </c>
      <c r="Z219" s="1">
        <v>2.4E-2</v>
      </c>
      <c r="AA219" s="1">
        <v>4.2999999999999997E-2</v>
      </c>
      <c r="AB219" s="1">
        <v>0.36199999999999999</v>
      </c>
      <c r="AC219" s="1">
        <v>0.41399999999999998</v>
      </c>
      <c r="AD219" s="1">
        <v>0</v>
      </c>
      <c r="AE219" s="1">
        <v>4.0000000000000001E-3</v>
      </c>
    </row>
    <row r="220" spans="1:31" x14ac:dyDescent="0.25">
      <c r="A220" t="str">
        <f>B220&amp;VLOOKUP(D220, Lookups!$E$2:$F$8,2,FALSE)&amp;C220</f>
        <v>ProstateScreen detected50-59</v>
      </c>
      <c r="B220" t="s">
        <v>21</v>
      </c>
      <c r="C220" t="s">
        <v>8</v>
      </c>
      <c r="D220" t="s">
        <v>30</v>
      </c>
      <c r="E220" s="1" t="s">
        <v>137</v>
      </c>
      <c r="F220" s="1" t="s">
        <v>137</v>
      </c>
      <c r="G220" s="1" t="s">
        <v>137</v>
      </c>
      <c r="H220" s="1" t="s">
        <v>137</v>
      </c>
      <c r="I220" s="1" t="s">
        <v>137</v>
      </c>
      <c r="J220" s="1" t="s">
        <v>137</v>
      </c>
      <c r="K220" s="1" t="s">
        <v>137</v>
      </c>
      <c r="L220" s="1" t="s">
        <v>137</v>
      </c>
      <c r="M220" s="1">
        <v>0</v>
      </c>
      <c r="N220" s="2">
        <v>0</v>
      </c>
      <c r="P220" s="1"/>
      <c r="Q220" s="1"/>
      <c r="R220" s="1"/>
      <c r="S220" s="1"/>
      <c r="T220" s="1"/>
      <c r="U220" s="1"/>
      <c r="V220" s="1"/>
      <c r="W220" s="1"/>
      <c r="X220" s="1"/>
      <c r="Y220" s="1"/>
      <c r="Z220" s="1"/>
      <c r="AA220" s="1"/>
      <c r="AB220" s="1"/>
      <c r="AC220" s="1"/>
      <c r="AD220" s="1"/>
      <c r="AE220" s="1"/>
    </row>
    <row r="221" spans="1:31" x14ac:dyDescent="0.25">
      <c r="A221" t="str">
        <f>B221&amp;VLOOKUP(D221, Lookups!$E$2:$F$8,2,FALSE)&amp;C221</f>
        <v>ProstateTwo Week Wait50-59</v>
      </c>
      <c r="B221" t="s">
        <v>21</v>
      </c>
      <c r="C221" t="s">
        <v>8</v>
      </c>
      <c r="D221" t="s">
        <v>31</v>
      </c>
      <c r="E221" s="1">
        <v>0.30329799764428739</v>
      </c>
      <c r="F221" s="1">
        <v>2.9446407538280331E-2</v>
      </c>
      <c r="G221" s="1">
        <v>0.22222222222222221</v>
      </c>
      <c r="H221" s="1">
        <v>1.3741656851197488E-3</v>
      </c>
      <c r="I221" s="1">
        <v>3.6120926580290535E-2</v>
      </c>
      <c r="J221" s="1">
        <v>2.7679623085983509E-2</v>
      </c>
      <c r="K221" s="1">
        <v>0.37946603847663918</v>
      </c>
      <c r="L221" s="1">
        <v>3.9261876717707107E-4</v>
      </c>
      <c r="M221" s="1">
        <v>1</v>
      </c>
      <c r="N221" s="2">
        <v>5094</v>
      </c>
      <c r="P221" s="1">
        <v>0.29099999999999998</v>
      </c>
      <c r="Q221" s="1">
        <v>0.316</v>
      </c>
      <c r="R221" s="1">
        <v>2.5000000000000001E-2</v>
      </c>
      <c r="S221" s="1">
        <v>3.4000000000000002E-2</v>
      </c>
      <c r="T221" s="1">
        <v>0.21099999999999999</v>
      </c>
      <c r="U221" s="1">
        <v>0.23400000000000001</v>
      </c>
      <c r="V221" s="1">
        <v>1E-3</v>
      </c>
      <c r="W221" s="1">
        <v>3.0000000000000001E-3</v>
      </c>
      <c r="X221" s="1">
        <v>3.1E-2</v>
      </c>
      <c r="Y221" s="1">
        <v>4.2000000000000003E-2</v>
      </c>
      <c r="Z221" s="1">
        <v>2.4E-2</v>
      </c>
      <c r="AA221" s="1">
        <v>3.3000000000000002E-2</v>
      </c>
      <c r="AB221" s="1">
        <v>0.36599999999999999</v>
      </c>
      <c r="AC221" s="1">
        <v>0.39300000000000002</v>
      </c>
      <c r="AD221" s="1">
        <v>0</v>
      </c>
      <c r="AE221" s="1">
        <v>1E-3</v>
      </c>
    </row>
    <row r="222" spans="1:31" x14ac:dyDescent="0.25">
      <c r="A222" t="str">
        <f>B222&amp;VLOOKUP(D222, Lookups!$E$2:$F$8,2,FALSE)&amp;C222</f>
        <v>ProstateGP referral50-59</v>
      </c>
      <c r="B222" t="s">
        <v>21</v>
      </c>
      <c r="C222" t="s">
        <v>8</v>
      </c>
      <c r="D222" t="s">
        <v>2</v>
      </c>
      <c r="E222" s="1">
        <v>0.38066914498141263</v>
      </c>
      <c r="F222" s="1">
        <v>1.0223048327137546E-2</v>
      </c>
      <c r="G222" s="1">
        <v>0.13401486988847583</v>
      </c>
      <c r="H222" s="1">
        <v>1.3011152416356876E-3</v>
      </c>
      <c r="I222" s="1">
        <v>3.1784386617100369E-2</v>
      </c>
      <c r="J222" s="1">
        <v>1.0594795539033457E-2</v>
      </c>
      <c r="K222" s="1">
        <v>0.43122676579925651</v>
      </c>
      <c r="L222" s="1">
        <v>1.8587360594795539E-4</v>
      </c>
      <c r="M222" s="1">
        <v>1</v>
      </c>
      <c r="N222" s="2">
        <v>5380</v>
      </c>
      <c r="P222" s="1">
        <v>0.36799999999999999</v>
      </c>
      <c r="Q222" s="1">
        <v>0.39400000000000002</v>
      </c>
      <c r="R222" s="1">
        <v>8.0000000000000002E-3</v>
      </c>
      <c r="S222" s="1">
        <v>1.2999999999999999E-2</v>
      </c>
      <c r="T222" s="1">
        <v>0.125</v>
      </c>
      <c r="U222" s="1">
        <v>0.14299999999999999</v>
      </c>
      <c r="V222" s="1">
        <v>1E-3</v>
      </c>
      <c r="W222" s="1">
        <v>3.0000000000000001E-3</v>
      </c>
      <c r="X222" s="1">
        <v>2.7E-2</v>
      </c>
      <c r="Y222" s="1">
        <v>3.6999999999999998E-2</v>
      </c>
      <c r="Z222" s="1">
        <v>8.0000000000000002E-3</v>
      </c>
      <c r="AA222" s="1">
        <v>1.4E-2</v>
      </c>
      <c r="AB222" s="1">
        <v>0.41799999999999998</v>
      </c>
      <c r="AC222" s="1">
        <v>0.44500000000000001</v>
      </c>
      <c r="AD222" s="1">
        <v>0</v>
      </c>
      <c r="AE222" s="1">
        <v>1E-3</v>
      </c>
    </row>
    <row r="223" spans="1:31" x14ac:dyDescent="0.25">
      <c r="A223" t="str">
        <f>B223&amp;VLOOKUP(D223, Lookups!$E$2:$F$8,2,FALSE)&amp;C223</f>
        <v>ProstateIP &amp; OP50-59</v>
      </c>
      <c r="B223" t="s">
        <v>21</v>
      </c>
      <c r="C223" t="s">
        <v>8</v>
      </c>
      <c r="D223" t="s">
        <v>32</v>
      </c>
      <c r="E223" s="1">
        <v>0.35107376283846869</v>
      </c>
      <c r="F223" s="1">
        <v>1.4005602240896359E-2</v>
      </c>
      <c r="G223" s="1">
        <v>0.12044817927170869</v>
      </c>
      <c r="H223" s="1">
        <v>4.6685340802987861E-3</v>
      </c>
      <c r="I223" s="1">
        <v>2.0541549953314659E-2</v>
      </c>
      <c r="J223" s="1">
        <v>1.1204481792717087E-2</v>
      </c>
      <c r="K223" s="1">
        <v>0.47805788982259573</v>
      </c>
      <c r="L223" s="1">
        <v>0</v>
      </c>
      <c r="M223" s="1">
        <v>1</v>
      </c>
      <c r="N223" s="2">
        <v>1071</v>
      </c>
      <c r="P223" s="1">
        <v>0.32300000000000001</v>
      </c>
      <c r="Q223" s="1">
        <v>0.38</v>
      </c>
      <c r="R223" s="1">
        <v>8.9999999999999993E-3</v>
      </c>
      <c r="S223" s="1">
        <v>2.3E-2</v>
      </c>
      <c r="T223" s="1">
        <v>0.10199999999999999</v>
      </c>
      <c r="U223" s="1">
        <v>0.14099999999999999</v>
      </c>
      <c r="V223" s="1">
        <v>2E-3</v>
      </c>
      <c r="W223" s="1">
        <v>1.0999999999999999E-2</v>
      </c>
      <c r="X223" s="1">
        <v>1.4E-2</v>
      </c>
      <c r="Y223" s="1">
        <v>3.1E-2</v>
      </c>
      <c r="Z223" s="1">
        <v>6.0000000000000001E-3</v>
      </c>
      <c r="AA223" s="1">
        <v>1.9E-2</v>
      </c>
      <c r="AB223" s="1">
        <v>0.44800000000000001</v>
      </c>
      <c r="AC223" s="1">
        <v>0.50800000000000001</v>
      </c>
      <c r="AD223" s="1">
        <v>0</v>
      </c>
      <c r="AE223" s="1">
        <v>4.0000000000000001E-3</v>
      </c>
    </row>
    <row r="224" spans="1:31" x14ac:dyDescent="0.25">
      <c r="A224" t="str">
        <f>B224&amp;VLOOKUP(D224, Lookups!$E$2:$F$8,2,FALSE)&amp;C224</f>
        <v>ProstateEmergency presentation50-59</v>
      </c>
      <c r="B224" t="s">
        <v>21</v>
      </c>
      <c r="C224" t="s">
        <v>8</v>
      </c>
      <c r="D224" t="s">
        <v>33</v>
      </c>
      <c r="E224" s="1">
        <v>0.1891891891891892</v>
      </c>
      <c r="F224" s="1">
        <v>7.3710073710073709E-2</v>
      </c>
      <c r="G224" s="1">
        <v>0.19901719901719903</v>
      </c>
      <c r="H224" s="1">
        <v>0</v>
      </c>
      <c r="I224" s="1">
        <v>2.4570024570024569E-3</v>
      </c>
      <c r="J224" s="1">
        <v>0.10810810810810811</v>
      </c>
      <c r="K224" s="1">
        <v>0.4275184275184275</v>
      </c>
      <c r="L224" s="1">
        <v>0</v>
      </c>
      <c r="M224" s="1">
        <v>1</v>
      </c>
      <c r="N224" s="2">
        <v>407</v>
      </c>
      <c r="P224" s="1">
        <v>0.154</v>
      </c>
      <c r="Q224" s="1">
        <v>0.23</v>
      </c>
      <c r="R224" s="1">
        <v>5.1999999999999998E-2</v>
      </c>
      <c r="S224" s="1">
        <v>0.10299999999999999</v>
      </c>
      <c r="T224" s="1">
        <v>0.16300000000000001</v>
      </c>
      <c r="U224" s="1">
        <v>0.24099999999999999</v>
      </c>
      <c r="V224" s="1">
        <v>0</v>
      </c>
      <c r="W224" s="1">
        <v>8.9999999999999993E-3</v>
      </c>
      <c r="X224" s="1">
        <v>0</v>
      </c>
      <c r="Y224" s="1">
        <v>1.4E-2</v>
      </c>
      <c r="Z224" s="1">
        <v>8.2000000000000003E-2</v>
      </c>
      <c r="AA224" s="1">
        <v>0.14199999999999999</v>
      </c>
      <c r="AB224" s="1">
        <v>0.38</v>
      </c>
      <c r="AC224" s="1">
        <v>0.47599999999999998</v>
      </c>
      <c r="AD224" s="1">
        <v>0</v>
      </c>
      <c r="AE224" s="1">
        <v>8.9999999999999993E-3</v>
      </c>
    </row>
    <row r="225" spans="1:31" x14ac:dyDescent="0.25">
      <c r="A225" t="str">
        <f>B225&amp;VLOOKUP(D225, Lookups!$E$2:$F$8,2,FALSE)&amp;C225</f>
        <v>ProstateUnknown50-59</v>
      </c>
      <c r="B225" t="s">
        <v>21</v>
      </c>
      <c r="C225" t="s">
        <v>8</v>
      </c>
      <c r="D225" t="s">
        <v>4</v>
      </c>
      <c r="E225" s="1">
        <v>0.33239038189533238</v>
      </c>
      <c r="F225" s="1">
        <v>5.6577086280056579E-3</v>
      </c>
      <c r="G225" s="1">
        <v>9.7595473833097593E-2</v>
      </c>
      <c r="H225" s="1">
        <v>0</v>
      </c>
      <c r="I225" s="1">
        <v>2.1216407355021217E-2</v>
      </c>
      <c r="J225" s="1">
        <v>9.9009900990099011E-3</v>
      </c>
      <c r="K225" s="1">
        <v>0.53323903818953322</v>
      </c>
      <c r="L225" s="1" t="s">
        <v>137</v>
      </c>
      <c r="M225" s="1">
        <v>1</v>
      </c>
      <c r="N225" s="2">
        <v>707</v>
      </c>
      <c r="P225" s="1">
        <v>0.29899999999999999</v>
      </c>
      <c r="Q225" s="1">
        <v>0.36799999999999999</v>
      </c>
      <c r="R225" s="1">
        <v>2E-3</v>
      </c>
      <c r="S225" s="1">
        <v>1.4E-2</v>
      </c>
      <c r="T225" s="1">
        <v>7.8E-2</v>
      </c>
      <c r="U225" s="1">
        <v>0.122</v>
      </c>
      <c r="V225" s="1">
        <v>0</v>
      </c>
      <c r="W225" s="1">
        <v>5.0000000000000001E-3</v>
      </c>
      <c r="X225" s="1">
        <v>1.2999999999999999E-2</v>
      </c>
      <c r="Y225" s="1">
        <v>3.5000000000000003E-2</v>
      </c>
      <c r="Z225" s="1">
        <v>5.0000000000000001E-3</v>
      </c>
      <c r="AA225" s="1">
        <v>0.02</v>
      </c>
      <c r="AB225" s="1">
        <v>0.496</v>
      </c>
      <c r="AC225" s="1">
        <v>0.56999999999999995</v>
      </c>
      <c r="AD225" s="1"/>
      <c r="AE225" s="1"/>
    </row>
    <row r="226" spans="1:31" x14ac:dyDescent="0.25">
      <c r="A226" t="str">
        <f>B226&amp;VLOOKUP(D226, Lookups!$E$2:$F$8,2,FALSE)&amp;C226</f>
        <v>ProstateAll Routes50-59</v>
      </c>
      <c r="B226" t="s">
        <v>21</v>
      </c>
      <c r="C226" t="s">
        <v>8</v>
      </c>
      <c r="D226" t="s">
        <v>34</v>
      </c>
      <c r="E226" s="1">
        <v>0.33817837111936172</v>
      </c>
      <c r="F226" s="1">
        <v>2.0064776048661033E-2</v>
      </c>
      <c r="G226" s="1">
        <v>0.16841772651868236</v>
      </c>
      <c r="H226" s="1">
        <v>1.5009084445848804E-3</v>
      </c>
      <c r="I226" s="1">
        <v>3.104510624851884E-2</v>
      </c>
      <c r="J226" s="1">
        <v>2.061774231771862E-2</v>
      </c>
      <c r="K226" s="1">
        <v>0.41993838375859072</v>
      </c>
      <c r="L226" s="1">
        <v>2.369855438818232E-4</v>
      </c>
      <c r="M226" s="1">
        <v>1</v>
      </c>
      <c r="N226" s="2">
        <v>12659</v>
      </c>
      <c r="P226" s="1">
        <v>0.33</v>
      </c>
      <c r="Q226" s="1">
        <v>0.34599999999999997</v>
      </c>
      <c r="R226" s="1">
        <v>1.7999999999999999E-2</v>
      </c>
      <c r="S226" s="1">
        <v>2.3E-2</v>
      </c>
      <c r="T226" s="1">
        <v>0.16200000000000001</v>
      </c>
      <c r="U226" s="1">
        <v>0.17499999999999999</v>
      </c>
      <c r="V226" s="1">
        <v>1E-3</v>
      </c>
      <c r="W226" s="1">
        <v>2E-3</v>
      </c>
      <c r="X226" s="1">
        <v>2.8000000000000001E-2</v>
      </c>
      <c r="Y226" s="1">
        <v>3.4000000000000002E-2</v>
      </c>
      <c r="Z226" s="1">
        <v>1.7999999999999999E-2</v>
      </c>
      <c r="AA226" s="1">
        <v>2.3E-2</v>
      </c>
      <c r="AB226" s="1">
        <v>0.41099999999999998</v>
      </c>
      <c r="AC226" s="1">
        <v>0.42899999999999999</v>
      </c>
      <c r="AD226" s="1">
        <v>0</v>
      </c>
      <c r="AE226" s="1">
        <v>1E-3</v>
      </c>
    </row>
    <row r="227" spans="1:31" x14ac:dyDescent="0.25">
      <c r="A227" t="str">
        <f>B227&amp;VLOOKUP(D227, Lookups!$E$2:$F$8,2,FALSE)&amp;C227</f>
        <v>ProstateScreen detected60-69</v>
      </c>
      <c r="B227" t="s">
        <v>21</v>
      </c>
      <c r="C227" t="s">
        <v>9</v>
      </c>
      <c r="D227" t="s">
        <v>30</v>
      </c>
      <c r="E227" s="1" t="s">
        <v>137</v>
      </c>
      <c r="F227" s="1" t="s">
        <v>137</v>
      </c>
      <c r="G227" s="1" t="s">
        <v>137</v>
      </c>
      <c r="H227" s="1" t="s">
        <v>137</v>
      </c>
      <c r="I227" s="1" t="s">
        <v>137</v>
      </c>
      <c r="J227" s="1" t="s">
        <v>137</v>
      </c>
      <c r="K227" s="1" t="s">
        <v>137</v>
      </c>
      <c r="L227" s="1" t="s">
        <v>137</v>
      </c>
      <c r="M227" s="1">
        <v>0</v>
      </c>
      <c r="N227" s="2">
        <v>0</v>
      </c>
      <c r="P227" s="1"/>
      <c r="Q227" s="1"/>
      <c r="R227" s="1"/>
      <c r="S227" s="1"/>
      <c r="T227" s="1"/>
      <c r="U227" s="1"/>
      <c r="V227" s="1"/>
      <c r="W227" s="1"/>
      <c r="X227" s="1"/>
      <c r="Y227" s="1"/>
      <c r="Z227" s="1"/>
      <c r="AA227" s="1"/>
      <c r="AB227" s="1"/>
      <c r="AC227" s="1"/>
      <c r="AD227" s="1"/>
      <c r="AE227" s="1"/>
    </row>
    <row r="228" spans="1:31" x14ac:dyDescent="0.25">
      <c r="A228" t="str">
        <f>B228&amp;VLOOKUP(D228, Lookups!$E$2:$F$8,2,FALSE)&amp;C228</f>
        <v>ProstateTwo Week Wait60-69</v>
      </c>
      <c r="B228" t="s">
        <v>21</v>
      </c>
      <c r="C228" t="s">
        <v>9</v>
      </c>
      <c r="D228" t="s">
        <v>31</v>
      </c>
      <c r="E228" s="1">
        <v>0.18790376475829806</v>
      </c>
      <c r="F228" s="1">
        <v>2.9238137669859658E-2</v>
      </c>
      <c r="G228" s="1">
        <v>0.36416796613945202</v>
      </c>
      <c r="H228" s="1">
        <v>1.2809088883938516E-3</v>
      </c>
      <c r="I228" s="1">
        <v>2.0940075740699487E-2</v>
      </c>
      <c r="J228" s="1">
        <v>2.3668968589886388E-2</v>
      </c>
      <c r="K228" s="1">
        <v>0.37235464468701268</v>
      </c>
      <c r="L228" s="1">
        <v>4.4553352639786146E-4</v>
      </c>
      <c r="M228" s="1">
        <v>0.99999999999999989</v>
      </c>
      <c r="N228" s="2">
        <v>17956</v>
      </c>
      <c r="P228" s="1">
        <v>0.182</v>
      </c>
      <c r="Q228" s="1">
        <v>0.19400000000000001</v>
      </c>
      <c r="R228" s="1">
        <v>2.7E-2</v>
      </c>
      <c r="S228" s="1">
        <v>3.2000000000000001E-2</v>
      </c>
      <c r="T228" s="1">
        <v>0.35699999999999998</v>
      </c>
      <c r="U228" s="1">
        <v>0.371</v>
      </c>
      <c r="V228" s="1">
        <v>1E-3</v>
      </c>
      <c r="W228" s="1">
        <v>2E-3</v>
      </c>
      <c r="X228" s="1">
        <v>1.9E-2</v>
      </c>
      <c r="Y228" s="1">
        <v>2.3E-2</v>
      </c>
      <c r="Z228" s="1">
        <v>2.1999999999999999E-2</v>
      </c>
      <c r="AA228" s="1">
        <v>2.5999999999999999E-2</v>
      </c>
      <c r="AB228" s="1">
        <v>0.36499999999999999</v>
      </c>
      <c r="AC228" s="1">
        <v>0.379</v>
      </c>
      <c r="AD228" s="1">
        <v>0</v>
      </c>
      <c r="AE228" s="1">
        <v>1E-3</v>
      </c>
    </row>
    <row r="229" spans="1:31" x14ac:dyDescent="0.25">
      <c r="A229" t="str">
        <f>B229&amp;VLOOKUP(D229, Lookups!$E$2:$F$8,2,FALSE)&amp;C229</f>
        <v>ProstateGP referral60-69</v>
      </c>
      <c r="B229" t="s">
        <v>21</v>
      </c>
      <c r="C229" t="s">
        <v>9</v>
      </c>
      <c r="D229" t="s">
        <v>2</v>
      </c>
      <c r="E229" s="1">
        <v>0.27755644090305442</v>
      </c>
      <c r="F229" s="1">
        <v>9.5979717493661718E-3</v>
      </c>
      <c r="G229" s="1">
        <v>0.24429554509235785</v>
      </c>
      <c r="H229" s="1">
        <v>1.3280212483399733E-3</v>
      </c>
      <c r="I229" s="1">
        <v>2.1006881564650488E-2</v>
      </c>
      <c r="J229" s="1">
        <v>9.5376071471689004E-3</v>
      </c>
      <c r="K229" s="1">
        <v>0.436194615477484</v>
      </c>
      <c r="L229" s="1">
        <v>4.8291681757817216E-4</v>
      </c>
      <c r="M229" s="1">
        <v>1</v>
      </c>
      <c r="N229" s="2">
        <v>16566</v>
      </c>
      <c r="P229" s="1">
        <v>0.27100000000000002</v>
      </c>
      <c r="Q229" s="1">
        <v>0.28399999999999997</v>
      </c>
      <c r="R229" s="1">
        <v>8.0000000000000002E-3</v>
      </c>
      <c r="S229" s="1">
        <v>1.0999999999999999E-2</v>
      </c>
      <c r="T229" s="1">
        <v>0.23799999999999999</v>
      </c>
      <c r="U229" s="1">
        <v>0.251</v>
      </c>
      <c r="V229" s="1">
        <v>1E-3</v>
      </c>
      <c r="W229" s="1">
        <v>2E-3</v>
      </c>
      <c r="X229" s="1">
        <v>1.9E-2</v>
      </c>
      <c r="Y229" s="1">
        <v>2.3E-2</v>
      </c>
      <c r="Z229" s="1">
        <v>8.0000000000000002E-3</v>
      </c>
      <c r="AA229" s="1">
        <v>1.0999999999999999E-2</v>
      </c>
      <c r="AB229" s="1">
        <v>0.42899999999999999</v>
      </c>
      <c r="AC229" s="1">
        <v>0.44400000000000001</v>
      </c>
      <c r="AD229" s="1">
        <v>0</v>
      </c>
      <c r="AE229" s="1">
        <v>1E-3</v>
      </c>
    </row>
    <row r="230" spans="1:31" x14ac:dyDescent="0.25">
      <c r="A230" t="str">
        <f>B230&amp;VLOOKUP(D230, Lookups!$E$2:$F$8,2,FALSE)&amp;C230</f>
        <v>ProstateIP &amp; OP60-69</v>
      </c>
      <c r="B230" t="s">
        <v>21</v>
      </c>
      <c r="C230" t="s">
        <v>9</v>
      </c>
      <c r="D230" t="s">
        <v>32</v>
      </c>
      <c r="E230" s="1">
        <v>0.27642276422764228</v>
      </c>
      <c r="F230" s="1">
        <v>1.5718157181571817E-2</v>
      </c>
      <c r="G230" s="1">
        <v>0.20189701897018969</v>
      </c>
      <c r="H230" s="1">
        <v>2.4390243902439024E-3</v>
      </c>
      <c r="I230" s="1">
        <v>1.4092140921409214E-2</v>
      </c>
      <c r="J230" s="1">
        <v>1.4905149051490514E-2</v>
      </c>
      <c r="K230" s="1">
        <v>0.47371273712737128</v>
      </c>
      <c r="L230" s="1">
        <v>8.1300813008130081E-4</v>
      </c>
      <c r="M230" s="1">
        <v>1</v>
      </c>
      <c r="N230" s="2">
        <v>3690</v>
      </c>
      <c r="P230" s="1">
        <v>0.26200000000000001</v>
      </c>
      <c r="Q230" s="1">
        <v>0.29099999999999998</v>
      </c>
      <c r="R230" s="1">
        <v>1.2E-2</v>
      </c>
      <c r="S230" s="1">
        <v>0.02</v>
      </c>
      <c r="T230" s="1">
        <v>0.189</v>
      </c>
      <c r="U230" s="1">
        <v>0.215</v>
      </c>
      <c r="V230" s="1">
        <v>1E-3</v>
      </c>
      <c r="W230" s="1">
        <v>5.0000000000000001E-3</v>
      </c>
      <c r="X230" s="1">
        <v>1.0999999999999999E-2</v>
      </c>
      <c r="Y230" s="1">
        <v>1.7999999999999999E-2</v>
      </c>
      <c r="Z230" s="1">
        <v>1.0999999999999999E-2</v>
      </c>
      <c r="AA230" s="1">
        <v>1.9E-2</v>
      </c>
      <c r="AB230" s="1">
        <v>0.45800000000000002</v>
      </c>
      <c r="AC230" s="1">
        <v>0.49</v>
      </c>
      <c r="AD230" s="1">
        <v>0</v>
      </c>
      <c r="AE230" s="1">
        <v>2E-3</v>
      </c>
    </row>
    <row r="231" spans="1:31" x14ac:dyDescent="0.25">
      <c r="A231" t="str">
        <f>B231&amp;VLOOKUP(D231, Lookups!$E$2:$F$8,2,FALSE)&amp;C231</f>
        <v>ProstateEmergency presentation60-69</v>
      </c>
      <c r="B231" t="s">
        <v>21</v>
      </c>
      <c r="C231" t="s">
        <v>9</v>
      </c>
      <c r="D231" t="s">
        <v>33</v>
      </c>
      <c r="E231" s="1">
        <v>0.10052910052910052</v>
      </c>
      <c r="F231" s="1">
        <v>4.8941798941798939E-2</v>
      </c>
      <c r="G231" s="1">
        <v>0.29298941798941797</v>
      </c>
      <c r="H231" s="1">
        <v>1.984126984126984E-3</v>
      </c>
      <c r="I231" s="1">
        <v>5.2910052910052907E-3</v>
      </c>
      <c r="J231" s="1">
        <v>5.1587301587301584E-2</v>
      </c>
      <c r="K231" s="1">
        <v>0.49801587301587302</v>
      </c>
      <c r="L231" s="1">
        <v>6.6137566137566134E-4</v>
      </c>
      <c r="M231" s="1">
        <v>1</v>
      </c>
      <c r="N231" s="2">
        <v>1512</v>
      </c>
      <c r="P231" s="1">
        <v>8.5999999999999993E-2</v>
      </c>
      <c r="Q231" s="1">
        <v>0.11700000000000001</v>
      </c>
      <c r="R231" s="1">
        <v>3.9E-2</v>
      </c>
      <c r="S231" s="1">
        <v>6.0999999999999999E-2</v>
      </c>
      <c r="T231" s="1">
        <v>0.27100000000000002</v>
      </c>
      <c r="U231" s="1">
        <v>0.316</v>
      </c>
      <c r="V231" s="1">
        <v>1E-3</v>
      </c>
      <c r="W231" s="1">
        <v>6.0000000000000001E-3</v>
      </c>
      <c r="X231" s="1">
        <v>3.0000000000000001E-3</v>
      </c>
      <c r="Y231" s="1">
        <v>0.01</v>
      </c>
      <c r="Z231" s="1">
        <v>4.2000000000000003E-2</v>
      </c>
      <c r="AA231" s="1">
        <v>6.4000000000000001E-2</v>
      </c>
      <c r="AB231" s="1">
        <v>0.47299999999999998</v>
      </c>
      <c r="AC231" s="1">
        <v>0.52300000000000002</v>
      </c>
      <c r="AD231" s="1">
        <v>0</v>
      </c>
      <c r="AE231" s="1">
        <v>4.0000000000000001E-3</v>
      </c>
    </row>
    <row r="232" spans="1:31" x14ac:dyDescent="0.25">
      <c r="A232" t="str">
        <f>B232&amp;VLOOKUP(D232, Lookups!$E$2:$F$8,2,FALSE)&amp;C232</f>
        <v>ProstateUnknown60-69</v>
      </c>
      <c r="B232" t="s">
        <v>21</v>
      </c>
      <c r="C232" t="s">
        <v>9</v>
      </c>
      <c r="D232" t="s">
        <v>4</v>
      </c>
      <c r="E232" s="1">
        <v>0.25471039776692256</v>
      </c>
      <c r="F232" s="1">
        <v>9.7697138869504534E-3</v>
      </c>
      <c r="G232" s="1">
        <v>0.15282623866015352</v>
      </c>
      <c r="H232" s="1">
        <v>6.9783670621074664E-4</v>
      </c>
      <c r="I232" s="1">
        <v>1.7445917655268667E-2</v>
      </c>
      <c r="J232" s="1">
        <v>1.3258897418004187E-2</v>
      </c>
      <c r="K232" s="1">
        <v>0.55129099790648983</v>
      </c>
      <c r="L232" s="1" t="s">
        <v>137</v>
      </c>
      <c r="M232" s="1">
        <v>1</v>
      </c>
      <c r="N232" s="2">
        <v>1433</v>
      </c>
      <c r="P232" s="1">
        <v>0.23300000000000001</v>
      </c>
      <c r="Q232" s="1">
        <v>0.27800000000000002</v>
      </c>
      <c r="R232" s="1">
        <v>6.0000000000000001E-3</v>
      </c>
      <c r="S232" s="1">
        <v>1.6E-2</v>
      </c>
      <c r="T232" s="1">
        <v>0.13500000000000001</v>
      </c>
      <c r="U232" s="1">
        <v>0.17199999999999999</v>
      </c>
      <c r="V232" s="1">
        <v>0</v>
      </c>
      <c r="W232" s="1">
        <v>4.0000000000000001E-3</v>
      </c>
      <c r="X232" s="1">
        <v>1.2E-2</v>
      </c>
      <c r="Y232" s="1">
        <v>2.5999999999999999E-2</v>
      </c>
      <c r="Z232" s="1">
        <v>8.9999999999999993E-3</v>
      </c>
      <c r="AA232" s="1">
        <v>2.1000000000000001E-2</v>
      </c>
      <c r="AB232" s="1">
        <v>0.52500000000000002</v>
      </c>
      <c r="AC232" s="1">
        <v>0.57699999999999996</v>
      </c>
      <c r="AD232" s="1"/>
      <c r="AE232" s="1"/>
    </row>
    <row r="233" spans="1:31" x14ac:dyDescent="0.25">
      <c r="A233" t="str">
        <f>B233&amp;VLOOKUP(D233, Lookups!$E$2:$F$8,2,FALSE)&amp;C233</f>
        <v>ProstateAll Routes60-69</v>
      </c>
      <c r="B233" t="s">
        <v>21</v>
      </c>
      <c r="C233" t="s">
        <v>9</v>
      </c>
      <c r="D233" t="s">
        <v>34</v>
      </c>
      <c r="E233" s="1">
        <v>0.23104210705347814</v>
      </c>
      <c r="F233" s="1">
        <v>2.0166678815268364E-2</v>
      </c>
      <c r="G233" s="1">
        <v>0.2913963602789319</v>
      </c>
      <c r="H233" s="1">
        <v>1.4092377967295964E-3</v>
      </c>
      <c r="I233" s="1">
        <v>1.9656437544038681E-2</v>
      </c>
      <c r="J233" s="1">
        <v>1.785844449303885E-2</v>
      </c>
      <c r="K233" s="1">
        <v>0.41798478995067667</v>
      </c>
      <c r="L233" s="1">
        <v>4.859440678377919E-4</v>
      </c>
      <c r="M233" s="1">
        <v>1</v>
      </c>
      <c r="N233" s="2">
        <v>41157</v>
      </c>
      <c r="P233" s="1">
        <v>0.22700000000000001</v>
      </c>
      <c r="Q233" s="1">
        <v>0.23499999999999999</v>
      </c>
      <c r="R233" s="1">
        <v>1.9E-2</v>
      </c>
      <c r="S233" s="1">
        <v>2.1999999999999999E-2</v>
      </c>
      <c r="T233" s="1">
        <v>0.28699999999999998</v>
      </c>
      <c r="U233" s="1">
        <v>0.29599999999999999</v>
      </c>
      <c r="V233" s="1">
        <v>1E-3</v>
      </c>
      <c r="W233" s="1">
        <v>2E-3</v>
      </c>
      <c r="X233" s="1">
        <v>1.7999999999999999E-2</v>
      </c>
      <c r="Y233" s="1">
        <v>2.1000000000000001E-2</v>
      </c>
      <c r="Z233" s="1">
        <v>1.7000000000000001E-2</v>
      </c>
      <c r="AA233" s="1">
        <v>1.9E-2</v>
      </c>
      <c r="AB233" s="1">
        <v>0.41299999999999998</v>
      </c>
      <c r="AC233" s="1">
        <v>0.42299999999999999</v>
      </c>
      <c r="AD233" s="1">
        <v>0</v>
      </c>
      <c r="AE233" s="1">
        <v>1E-3</v>
      </c>
    </row>
    <row r="234" spans="1:31" x14ac:dyDescent="0.25">
      <c r="A234" t="str">
        <f>B234&amp;VLOOKUP(D234, Lookups!$E$2:$F$8,2,FALSE)&amp;C234</f>
        <v>ProstateScreen detected70-79</v>
      </c>
      <c r="B234" t="s">
        <v>21</v>
      </c>
      <c r="C234" t="s">
        <v>10</v>
      </c>
      <c r="D234" t="s">
        <v>30</v>
      </c>
      <c r="E234" s="1" t="s">
        <v>137</v>
      </c>
      <c r="F234" s="1" t="s">
        <v>137</v>
      </c>
      <c r="G234" s="1" t="s">
        <v>137</v>
      </c>
      <c r="H234" s="1" t="s">
        <v>137</v>
      </c>
      <c r="I234" s="1" t="s">
        <v>137</v>
      </c>
      <c r="J234" s="1" t="s">
        <v>137</v>
      </c>
      <c r="K234" s="1" t="s">
        <v>137</v>
      </c>
      <c r="L234" s="1" t="s">
        <v>137</v>
      </c>
      <c r="M234" s="1">
        <v>0</v>
      </c>
      <c r="N234" s="2">
        <v>0</v>
      </c>
      <c r="P234" s="1"/>
      <c r="Q234" s="1"/>
      <c r="R234" s="1"/>
      <c r="S234" s="1"/>
      <c r="T234" s="1"/>
      <c r="U234" s="1"/>
      <c r="V234" s="1"/>
      <c r="W234" s="1"/>
      <c r="X234" s="1"/>
      <c r="Y234" s="1"/>
      <c r="Z234" s="1"/>
      <c r="AA234" s="1"/>
      <c r="AB234" s="1"/>
      <c r="AC234" s="1"/>
      <c r="AD234" s="1"/>
      <c r="AE234" s="1"/>
    </row>
    <row r="235" spans="1:31" x14ac:dyDescent="0.25">
      <c r="A235" t="str">
        <f>B235&amp;VLOOKUP(D235, Lookups!$E$2:$F$8,2,FALSE)&amp;C235</f>
        <v>ProstateTwo Week Wait70-79</v>
      </c>
      <c r="B235" t="s">
        <v>21</v>
      </c>
      <c r="C235" t="s">
        <v>10</v>
      </c>
      <c r="D235" t="s">
        <v>31</v>
      </c>
      <c r="E235" s="1">
        <v>3.9904849749987863E-2</v>
      </c>
      <c r="F235" s="1">
        <v>2.1748628574202632E-2</v>
      </c>
      <c r="G235" s="1">
        <v>0.4380795184232244</v>
      </c>
      <c r="H235" s="1">
        <v>3.3982232147191613E-4</v>
      </c>
      <c r="I235" s="1">
        <v>3.8836836739647557E-3</v>
      </c>
      <c r="J235" s="1">
        <v>1.8059129083936112E-2</v>
      </c>
      <c r="K235" s="1">
        <v>0.47798436817321227</v>
      </c>
      <c r="L235" s="1">
        <v>0</v>
      </c>
      <c r="M235" s="1">
        <v>1</v>
      </c>
      <c r="N235" s="2">
        <v>20599</v>
      </c>
      <c r="P235" s="1">
        <v>3.6999999999999998E-2</v>
      </c>
      <c r="Q235" s="1">
        <v>4.2999999999999997E-2</v>
      </c>
      <c r="R235" s="1">
        <v>0.02</v>
      </c>
      <c r="S235" s="1">
        <v>2.4E-2</v>
      </c>
      <c r="T235" s="1">
        <v>0.43099999999999999</v>
      </c>
      <c r="U235" s="1">
        <v>0.44500000000000001</v>
      </c>
      <c r="V235" s="1">
        <v>0</v>
      </c>
      <c r="W235" s="1">
        <v>1E-3</v>
      </c>
      <c r="X235" s="1">
        <v>3.0000000000000001E-3</v>
      </c>
      <c r="Y235" s="1">
        <v>5.0000000000000001E-3</v>
      </c>
      <c r="Z235" s="1">
        <v>1.6E-2</v>
      </c>
      <c r="AA235" s="1">
        <v>0.02</v>
      </c>
      <c r="AB235" s="1">
        <v>0.47099999999999997</v>
      </c>
      <c r="AC235" s="1">
        <v>0.48499999999999999</v>
      </c>
      <c r="AD235" s="1">
        <v>0</v>
      </c>
      <c r="AE235" s="1">
        <v>0</v>
      </c>
    </row>
    <row r="236" spans="1:31" x14ac:dyDescent="0.25">
      <c r="A236" t="str">
        <f>B236&amp;VLOOKUP(D236, Lookups!$E$2:$F$8,2,FALSE)&amp;C236</f>
        <v>ProstateGP referral70-79</v>
      </c>
      <c r="B236" t="s">
        <v>21</v>
      </c>
      <c r="C236" t="s">
        <v>10</v>
      </c>
      <c r="D236" t="s">
        <v>2</v>
      </c>
      <c r="E236" s="1">
        <v>9.3947721607975973E-2</v>
      </c>
      <c r="F236" s="1">
        <v>1.2334632836965552E-2</v>
      </c>
      <c r="G236" s="1">
        <v>0.36754649453569377</v>
      </c>
      <c r="H236" s="1">
        <v>3.1955007349651691E-4</v>
      </c>
      <c r="I236" s="1">
        <v>5.304531220042181E-3</v>
      </c>
      <c r="J236" s="1">
        <v>1.1120342557678789E-2</v>
      </c>
      <c r="K236" s="1">
        <v>0.5094267271681473</v>
      </c>
      <c r="L236" s="1">
        <v>0</v>
      </c>
      <c r="M236" s="1">
        <v>1</v>
      </c>
      <c r="N236" s="2">
        <v>15647</v>
      </c>
      <c r="P236" s="1">
        <v>8.8999999999999996E-2</v>
      </c>
      <c r="Q236" s="1">
        <v>9.9000000000000005E-2</v>
      </c>
      <c r="R236" s="1">
        <v>1.0999999999999999E-2</v>
      </c>
      <c r="S236" s="1">
        <v>1.4E-2</v>
      </c>
      <c r="T236" s="1">
        <v>0.36</v>
      </c>
      <c r="U236" s="1">
        <v>0.375</v>
      </c>
      <c r="V236" s="1">
        <v>0</v>
      </c>
      <c r="W236" s="1">
        <v>1E-3</v>
      </c>
      <c r="X236" s="1">
        <v>4.0000000000000001E-3</v>
      </c>
      <c r="Y236" s="1">
        <v>7.0000000000000001E-3</v>
      </c>
      <c r="Z236" s="1">
        <v>0.01</v>
      </c>
      <c r="AA236" s="1">
        <v>1.2999999999999999E-2</v>
      </c>
      <c r="AB236" s="1">
        <v>0.502</v>
      </c>
      <c r="AC236" s="1">
        <v>0.51700000000000002</v>
      </c>
      <c r="AD236" s="1">
        <v>0</v>
      </c>
      <c r="AE236" s="1">
        <v>0</v>
      </c>
    </row>
    <row r="237" spans="1:31" x14ac:dyDescent="0.25">
      <c r="A237" t="str">
        <f>B237&amp;VLOOKUP(D237, Lookups!$E$2:$F$8,2,FALSE)&amp;C237</f>
        <v>ProstateIP &amp; OP70-79</v>
      </c>
      <c r="B237" t="s">
        <v>21</v>
      </c>
      <c r="C237" t="s">
        <v>10</v>
      </c>
      <c r="D237" t="s">
        <v>32</v>
      </c>
      <c r="E237" s="1">
        <v>0.12084514300438032</v>
      </c>
      <c r="F237" s="1">
        <v>1.8294254058232415E-2</v>
      </c>
      <c r="G237" s="1">
        <v>0.30249935583612469</v>
      </c>
      <c r="H237" s="1">
        <v>1.5459933006956969E-3</v>
      </c>
      <c r="I237" s="1">
        <v>5.1533110023189903E-3</v>
      </c>
      <c r="J237" s="1">
        <v>1.1079618654985829E-2</v>
      </c>
      <c r="K237" s="1">
        <v>0.54032465859314605</v>
      </c>
      <c r="L237" s="1">
        <v>2.576655501159495E-4</v>
      </c>
      <c r="M237" s="1">
        <v>1</v>
      </c>
      <c r="N237" s="2">
        <v>3881</v>
      </c>
      <c r="P237" s="1">
        <v>0.111</v>
      </c>
      <c r="Q237" s="1">
        <v>0.13100000000000001</v>
      </c>
      <c r="R237" s="1">
        <v>1.4999999999999999E-2</v>
      </c>
      <c r="S237" s="1">
        <v>2.3E-2</v>
      </c>
      <c r="T237" s="1">
        <v>0.28799999999999998</v>
      </c>
      <c r="U237" s="1">
        <v>0.317</v>
      </c>
      <c r="V237" s="1">
        <v>1E-3</v>
      </c>
      <c r="W237" s="1">
        <v>3.0000000000000001E-3</v>
      </c>
      <c r="X237" s="1">
        <v>3.0000000000000001E-3</v>
      </c>
      <c r="Y237" s="1">
        <v>8.0000000000000002E-3</v>
      </c>
      <c r="Z237" s="1">
        <v>8.0000000000000002E-3</v>
      </c>
      <c r="AA237" s="1">
        <v>1.4999999999999999E-2</v>
      </c>
      <c r="AB237" s="1">
        <v>0.52500000000000002</v>
      </c>
      <c r="AC237" s="1">
        <v>0.55600000000000005</v>
      </c>
      <c r="AD237" s="1">
        <v>0</v>
      </c>
      <c r="AE237" s="1">
        <v>1E-3</v>
      </c>
    </row>
    <row r="238" spans="1:31" x14ac:dyDescent="0.25">
      <c r="A238" t="str">
        <f>B238&amp;VLOOKUP(D238, Lookups!$E$2:$F$8,2,FALSE)&amp;C238</f>
        <v>ProstateEmergency presentation70-79</v>
      </c>
      <c r="B238" t="s">
        <v>21</v>
      </c>
      <c r="C238" t="s">
        <v>10</v>
      </c>
      <c r="D238" t="s">
        <v>33</v>
      </c>
      <c r="E238" s="1">
        <v>3.1475161167993933E-2</v>
      </c>
      <c r="F238" s="1">
        <v>3.5646568069776258E-2</v>
      </c>
      <c r="G238" s="1">
        <v>0.23549488054607509</v>
      </c>
      <c r="H238" s="1">
        <v>0</v>
      </c>
      <c r="I238" s="1">
        <v>1.8960940462646946E-3</v>
      </c>
      <c r="J238" s="1">
        <v>2.540766021994691E-2</v>
      </c>
      <c r="K238" s="1">
        <v>0.67007963594994313</v>
      </c>
      <c r="L238" s="1">
        <v>0</v>
      </c>
      <c r="M238" s="1">
        <v>1</v>
      </c>
      <c r="N238" s="2">
        <v>2637</v>
      </c>
      <c r="P238" s="1">
        <v>2.5000000000000001E-2</v>
      </c>
      <c r="Q238" s="1">
        <v>3.9E-2</v>
      </c>
      <c r="R238" s="1">
        <v>2.9000000000000001E-2</v>
      </c>
      <c r="S238" s="1">
        <v>4.2999999999999997E-2</v>
      </c>
      <c r="T238" s="1">
        <v>0.22</v>
      </c>
      <c r="U238" s="1">
        <v>0.252</v>
      </c>
      <c r="V238" s="1">
        <v>0</v>
      </c>
      <c r="W238" s="1">
        <v>1E-3</v>
      </c>
      <c r="X238" s="1">
        <v>1E-3</v>
      </c>
      <c r="Y238" s="1">
        <v>4.0000000000000001E-3</v>
      </c>
      <c r="Z238" s="1">
        <v>0.02</v>
      </c>
      <c r="AA238" s="1">
        <v>3.2000000000000001E-2</v>
      </c>
      <c r="AB238" s="1">
        <v>0.65200000000000002</v>
      </c>
      <c r="AC238" s="1">
        <v>0.68799999999999994</v>
      </c>
      <c r="AD238" s="1">
        <v>0</v>
      </c>
      <c r="AE238" s="1">
        <v>1E-3</v>
      </c>
    </row>
    <row r="239" spans="1:31" x14ac:dyDescent="0.25">
      <c r="A239" t="str">
        <f>B239&amp;VLOOKUP(D239, Lookups!$E$2:$F$8,2,FALSE)&amp;C239</f>
        <v>ProstateUnknown70-79</v>
      </c>
      <c r="B239" t="s">
        <v>21</v>
      </c>
      <c r="C239" t="s">
        <v>10</v>
      </c>
      <c r="D239" t="s">
        <v>4</v>
      </c>
      <c r="E239" s="1">
        <v>0.1099009900990099</v>
      </c>
      <c r="F239" s="1">
        <v>1.782178217821782E-2</v>
      </c>
      <c r="G239" s="1">
        <v>0.26534653465346536</v>
      </c>
      <c r="H239" s="1">
        <v>9.9009900990099011E-4</v>
      </c>
      <c r="I239" s="1">
        <v>5.9405940594059407E-3</v>
      </c>
      <c r="J239" s="1">
        <v>1.089108910891089E-2</v>
      </c>
      <c r="K239" s="1">
        <v>0.58910891089108908</v>
      </c>
      <c r="L239" s="1" t="s">
        <v>137</v>
      </c>
      <c r="M239" s="1">
        <v>1</v>
      </c>
      <c r="N239" s="2">
        <v>1010</v>
      </c>
      <c r="P239" s="1">
        <v>9.1999999999999998E-2</v>
      </c>
      <c r="Q239" s="1">
        <v>0.13100000000000001</v>
      </c>
      <c r="R239" s="1">
        <v>1.0999999999999999E-2</v>
      </c>
      <c r="S239" s="1">
        <v>2.8000000000000001E-2</v>
      </c>
      <c r="T239" s="1">
        <v>0.23899999999999999</v>
      </c>
      <c r="U239" s="1">
        <v>0.29299999999999998</v>
      </c>
      <c r="V239" s="1">
        <v>0</v>
      </c>
      <c r="W239" s="1">
        <v>6.0000000000000001E-3</v>
      </c>
      <c r="X239" s="1">
        <v>3.0000000000000001E-3</v>
      </c>
      <c r="Y239" s="1">
        <v>1.2999999999999999E-2</v>
      </c>
      <c r="Z239" s="1">
        <v>6.0000000000000001E-3</v>
      </c>
      <c r="AA239" s="1">
        <v>1.9E-2</v>
      </c>
      <c r="AB239" s="1">
        <v>0.55800000000000005</v>
      </c>
      <c r="AC239" s="1">
        <v>0.61899999999999999</v>
      </c>
      <c r="AD239" s="1"/>
      <c r="AE239" s="1"/>
    </row>
    <row r="240" spans="1:31" x14ac:dyDescent="0.25">
      <c r="A240" t="str">
        <f>B240&amp;VLOOKUP(D240, Lookups!$E$2:$F$8,2,FALSE)&amp;C240</f>
        <v>ProstateAll Routes70-79</v>
      </c>
      <c r="B240" t="s">
        <v>21</v>
      </c>
      <c r="C240" t="s">
        <v>10</v>
      </c>
      <c r="D240" t="s">
        <v>34</v>
      </c>
      <c r="E240" s="1">
        <v>6.7505825375793846E-2</v>
      </c>
      <c r="F240" s="1">
        <v>1.8823959427970941E-2</v>
      </c>
      <c r="G240" s="1">
        <v>0.38465755928176543</v>
      </c>
      <c r="H240" s="1">
        <v>4.3404760816923287E-4</v>
      </c>
      <c r="I240" s="1">
        <v>4.4318545255174306E-3</v>
      </c>
      <c r="J240" s="1">
        <v>1.5237355507835702E-2</v>
      </c>
      <c r="K240" s="1">
        <v>0.50888655366199109</v>
      </c>
      <c r="L240" s="1">
        <v>2.2844610956275415E-5</v>
      </c>
      <c r="M240" s="1">
        <v>1</v>
      </c>
      <c r="N240" s="2">
        <v>43774</v>
      </c>
      <c r="P240" s="1">
        <v>6.5000000000000002E-2</v>
      </c>
      <c r="Q240" s="1">
        <v>7.0000000000000007E-2</v>
      </c>
      <c r="R240" s="1">
        <v>1.7999999999999999E-2</v>
      </c>
      <c r="S240" s="1">
        <v>0.02</v>
      </c>
      <c r="T240" s="1">
        <v>0.38</v>
      </c>
      <c r="U240" s="1">
        <v>0.38900000000000001</v>
      </c>
      <c r="V240" s="1">
        <v>0</v>
      </c>
      <c r="W240" s="1">
        <v>1E-3</v>
      </c>
      <c r="X240" s="1">
        <v>4.0000000000000001E-3</v>
      </c>
      <c r="Y240" s="1">
        <v>5.0000000000000001E-3</v>
      </c>
      <c r="Z240" s="1">
        <v>1.4E-2</v>
      </c>
      <c r="AA240" s="1">
        <v>1.6E-2</v>
      </c>
      <c r="AB240" s="1">
        <v>0.504</v>
      </c>
      <c r="AC240" s="1">
        <v>0.51400000000000001</v>
      </c>
      <c r="AD240" s="1">
        <v>0</v>
      </c>
      <c r="AE240" s="1">
        <v>0</v>
      </c>
    </row>
    <row r="241" spans="1:31" x14ac:dyDescent="0.25">
      <c r="A241" t="str">
        <f>B241&amp;VLOOKUP(D241, Lookups!$E$2:$F$8,2,FALSE)&amp;C241</f>
        <v>ProstateScreen detected80-84</v>
      </c>
      <c r="B241" t="s">
        <v>21</v>
      </c>
      <c r="C241" t="s">
        <v>11</v>
      </c>
      <c r="D241" t="s">
        <v>30</v>
      </c>
      <c r="E241" s="1" t="s">
        <v>137</v>
      </c>
      <c r="F241" s="1" t="s">
        <v>137</v>
      </c>
      <c r="G241" s="1" t="s">
        <v>137</v>
      </c>
      <c r="H241" s="1" t="s">
        <v>137</v>
      </c>
      <c r="I241" s="1" t="s">
        <v>137</v>
      </c>
      <c r="J241" s="1" t="s">
        <v>137</v>
      </c>
      <c r="K241" s="1" t="s">
        <v>137</v>
      </c>
      <c r="L241" s="1" t="s">
        <v>137</v>
      </c>
      <c r="M241" s="1">
        <v>0</v>
      </c>
      <c r="N241" s="2">
        <v>0</v>
      </c>
      <c r="P241" s="1"/>
      <c r="Q241" s="1"/>
      <c r="R241" s="1"/>
      <c r="S241" s="1"/>
      <c r="T241" s="1"/>
      <c r="U241" s="1"/>
      <c r="V241" s="1"/>
      <c r="W241" s="1"/>
      <c r="X241" s="1"/>
      <c r="Y241" s="1"/>
      <c r="Z241" s="1"/>
      <c r="AA241" s="1"/>
      <c r="AB241" s="1"/>
      <c r="AC241" s="1"/>
      <c r="AD241" s="1"/>
      <c r="AE241" s="1"/>
    </row>
    <row r="242" spans="1:31" x14ac:dyDescent="0.25">
      <c r="A242" t="str">
        <f>B242&amp;VLOOKUP(D242, Lookups!$E$2:$F$8,2,FALSE)&amp;C242</f>
        <v>ProstateTwo Week Wait80-84</v>
      </c>
      <c r="B242" t="s">
        <v>21</v>
      </c>
      <c r="C242" t="s">
        <v>11</v>
      </c>
      <c r="D242" t="s">
        <v>31</v>
      </c>
      <c r="E242" s="1">
        <v>6.9565217391304353E-4</v>
      </c>
      <c r="F242" s="1">
        <v>1.3739130434782608E-2</v>
      </c>
      <c r="G242" s="1">
        <v>0.14869565217391303</v>
      </c>
      <c r="H242" s="1">
        <v>0</v>
      </c>
      <c r="I242" s="1">
        <v>0</v>
      </c>
      <c r="J242" s="1">
        <v>6.434782608695652E-3</v>
      </c>
      <c r="K242" s="1">
        <v>0.83043478260869563</v>
      </c>
      <c r="L242" s="1">
        <v>0</v>
      </c>
      <c r="M242" s="1">
        <v>1</v>
      </c>
      <c r="N242" s="2">
        <v>5750</v>
      </c>
      <c r="P242" s="1">
        <v>0</v>
      </c>
      <c r="Q242" s="1">
        <v>2E-3</v>
      </c>
      <c r="R242" s="1">
        <v>1.0999999999999999E-2</v>
      </c>
      <c r="S242" s="1">
        <v>1.7000000000000001E-2</v>
      </c>
      <c r="T242" s="1">
        <v>0.14000000000000001</v>
      </c>
      <c r="U242" s="1">
        <v>0.158</v>
      </c>
      <c r="V242" s="1">
        <v>0</v>
      </c>
      <c r="W242" s="1">
        <v>1E-3</v>
      </c>
      <c r="X242" s="1">
        <v>0</v>
      </c>
      <c r="Y242" s="1">
        <v>1E-3</v>
      </c>
      <c r="Z242" s="1">
        <v>5.0000000000000001E-3</v>
      </c>
      <c r="AA242" s="1">
        <v>8.9999999999999993E-3</v>
      </c>
      <c r="AB242" s="1">
        <v>0.82099999999999995</v>
      </c>
      <c r="AC242" s="1">
        <v>0.84</v>
      </c>
      <c r="AD242" s="1">
        <v>0</v>
      </c>
      <c r="AE242" s="1">
        <v>1E-3</v>
      </c>
    </row>
    <row r="243" spans="1:31" x14ac:dyDescent="0.25">
      <c r="A243" t="str">
        <f>B243&amp;VLOOKUP(D243, Lookups!$E$2:$F$8,2,FALSE)&amp;C243</f>
        <v>ProstateGP referral80-84</v>
      </c>
      <c r="B243" t="s">
        <v>21</v>
      </c>
      <c r="C243" t="s">
        <v>11</v>
      </c>
      <c r="D243" t="s">
        <v>2</v>
      </c>
      <c r="E243" s="1">
        <v>1.6829533116178068E-2</v>
      </c>
      <c r="F243" s="1">
        <v>1.1943539630836048E-2</v>
      </c>
      <c r="G243" s="1">
        <v>0.15580890336590664</v>
      </c>
      <c r="H243" s="1">
        <v>0</v>
      </c>
      <c r="I243" s="1">
        <v>2.714440825190011E-4</v>
      </c>
      <c r="J243" s="1">
        <v>7.6004343105320303E-3</v>
      </c>
      <c r="K243" s="1">
        <v>0.80754614549402826</v>
      </c>
      <c r="L243" s="1">
        <v>0</v>
      </c>
      <c r="M243" s="1">
        <v>1</v>
      </c>
      <c r="N243" s="2">
        <v>3684</v>
      </c>
      <c r="P243" s="1">
        <v>1.2999999999999999E-2</v>
      </c>
      <c r="Q243" s="1">
        <v>2.1999999999999999E-2</v>
      </c>
      <c r="R243" s="1">
        <v>8.9999999999999993E-3</v>
      </c>
      <c r="S243" s="1">
        <v>1.6E-2</v>
      </c>
      <c r="T243" s="1">
        <v>0.14399999999999999</v>
      </c>
      <c r="U243" s="1">
        <v>0.16800000000000001</v>
      </c>
      <c r="V243" s="1">
        <v>0</v>
      </c>
      <c r="W243" s="1">
        <v>1E-3</v>
      </c>
      <c r="X243" s="1">
        <v>0</v>
      </c>
      <c r="Y243" s="1">
        <v>2E-3</v>
      </c>
      <c r="Z243" s="1">
        <v>5.0000000000000001E-3</v>
      </c>
      <c r="AA243" s="1">
        <v>1.0999999999999999E-2</v>
      </c>
      <c r="AB243" s="1">
        <v>0.79400000000000004</v>
      </c>
      <c r="AC243" s="1">
        <v>0.82</v>
      </c>
      <c r="AD243" s="1">
        <v>0</v>
      </c>
      <c r="AE243" s="1">
        <v>1E-3</v>
      </c>
    </row>
    <row r="244" spans="1:31" x14ac:dyDescent="0.25">
      <c r="A244" t="str">
        <f>B244&amp;VLOOKUP(D244, Lookups!$E$2:$F$8,2,FALSE)&amp;C244</f>
        <v>ProstateIP &amp; OP80-84</v>
      </c>
      <c r="B244" t="s">
        <v>21</v>
      </c>
      <c r="C244" t="s">
        <v>11</v>
      </c>
      <c r="D244" t="s">
        <v>32</v>
      </c>
      <c r="E244" s="1">
        <v>3.8281979458450049E-2</v>
      </c>
      <c r="F244" s="1">
        <v>1.027077497665733E-2</v>
      </c>
      <c r="G244" s="1">
        <v>0.13165266106442577</v>
      </c>
      <c r="H244" s="1">
        <v>9.3370681605975728E-4</v>
      </c>
      <c r="I244" s="1">
        <v>0</v>
      </c>
      <c r="J244" s="1">
        <v>5.6022408963585435E-3</v>
      </c>
      <c r="K244" s="1">
        <v>0.81325863678804855</v>
      </c>
      <c r="L244" s="1">
        <v>0</v>
      </c>
      <c r="M244" s="1">
        <v>1</v>
      </c>
      <c r="N244" s="2">
        <v>1071</v>
      </c>
      <c r="P244" s="1">
        <v>2.8000000000000001E-2</v>
      </c>
      <c r="Q244" s="1">
        <v>5.1999999999999998E-2</v>
      </c>
      <c r="R244" s="1">
        <v>6.0000000000000001E-3</v>
      </c>
      <c r="S244" s="1">
        <v>1.7999999999999999E-2</v>
      </c>
      <c r="T244" s="1">
        <v>0.113</v>
      </c>
      <c r="U244" s="1">
        <v>0.153</v>
      </c>
      <c r="V244" s="1">
        <v>0</v>
      </c>
      <c r="W244" s="1">
        <v>5.0000000000000001E-3</v>
      </c>
      <c r="X244" s="1">
        <v>0</v>
      </c>
      <c r="Y244" s="1">
        <v>4.0000000000000001E-3</v>
      </c>
      <c r="Z244" s="1">
        <v>3.0000000000000001E-3</v>
      </c>
      <c r="AA244" s="1">
        <v>1.2E-2</v>
      </c>
      <c r="AB244" s="1">
        <v>0.78900000000000003</v>
      </c>
      <c r="AC244" s="1">
        <v>0.83499999999999996</v>
      </c>
      <c r="AD244" s="1">
        <v>0</v>
      </c>
      <c r="AE244" s="1">
        <v>4.0000000000000001E-3</v>
      </c>
    </row>
    <row r="245" spans="1:31" x14ac:dyDescent="0.25">
      <c r="A245" t="str">
        <f>B245&amp;VLOOKUP(D245, Lookups!$E$2:$F$8,2,FALSE)&amp;C245</f>
        <v>ProstateEmergency presentation80-84</v>
      </c>
      <c r="B245" t="s">
        <v>21</v>
      </c>
      <c r="C245" t="s">
        <v>11</v>
      </c>
      <c r="D245" t="s">
        <v>33</v>
      </c>
      <c r="E245" s="1">
        <v>7.2115384615384619E-3</v>
      </c>
      <c r="F245" s="1">
        <v>1.4423076923076924E-2</v>
      </c>
      <c r="G245" s="1">
        <v>0.11538461538461539</v>
      </c>
      <c r="H245" s="1">
        <v>0</v>
      </c>
      <c r="I245" s="1">
        <v>0</v>
      </c>
      <c r="J245" s="1">
        <v>9.0144230769230761E-3</v>
      </c>
      <c r="K245" s="1">
        <v>0.85396634615384615</v>
      </c>
      <c r="L245" s="1">
        <v>0</v>
      </c>
      <c r="M245" s="1">
        <v>1</v>
      </c>
      <c r="N245" s="2">
        <v>1664</v>
      </c>
      <c r="P245" s="1">
        <v>4.0000000000000001E-3</v>
      </c>
      <c r="Q245" s="1">
        <v>1.2999999999999999E-2</v>
      </c>
      <c r="R245" s="1">
        <v>0.01</v>
      </c>
      <c r="S245" s="1">
        <v>2.1000000000000001E-2</v>
      </c>
      <c r="T245" s="1">
        <v>0.10100000000000001</v>
      </c>
      <c r="U245" s="1">
        <v>0.13200000000000001</v>
      </c>
      <c r="V245" s="1">
        <v>0</v>
      </c>
      <c r="W245" s="1">
        <v>2E-3</v>
      </c>
      <c r="X245" s="1">
        <v>0</v>
      </c>
      <c r="Y245" s="1">
        <v>2E-3</v>
      </c>
      <c r="Z245" s="1">
        <v>5.0000000000000001E-3</v>
      </c>
      <c r="AA245" s="1">
        <v>1.4999999999999999E-2</v>
      </c>
      <c r="AB245" s="1">
        <v>0.83599999999999997</v>
      </c>
      <c r="AC245" s="1">
        <v>0.87</v>
      </c>
      <c r="AD245" s="1">
        <v>0</v>
      </c>
      <c r="AE245" s="1">
        <v>2E-3</v>
      </c>
    </row>
    <row r="246" spans="1:31" x14ac:dyDescent="0.25">
      <c r="A246" t="str">
        <f>B246&amp;VLOOKUP(D246, Lookups!$E$2:$F$8,2,FALSE)&amp;C246</f>
        <v>ProstateUnknown80-84</v>
      </c>
      <c r="B246" t="s">
        <v>21</v>
      </c>
      <c r="C246" t="s">
        <v>11</v>
      </c>
      <c r="D246" t="s">
        <v>4</v>
      </c>
      <c r="E246" s="1">
        <v>8.4388185654008432E-3</v>
      </c>
      <c r="F246" s="1">
        <v>8.4388185654008432E-3</v>
      </c>
      <c r="G246" s="1">
        <v>0.18143459915611815</v>
      </c>
      <c r="H246" s="1">
        <v>0</v>
      </c>
      <c r="I246" s="1">
        <v>0</v>
      </c>
      <c r="J246" s="1">
        <v>4.2194092827004216E-3</v>
      </c>
      <c r="K246" s="1">
        <v>0.79746835443037978</v>
      </c>
      <c r="L246" s="1" t="s">
        <v>137</v>
      </c>
      <c r="M246" s="1">
        <v>1</v>
      </c>
      <c r="N246" s="2">
        <v>237</v>
      </c>
      <c r="P246" s="1">
        <v>2E-3</v>
      </c>
      <c r="Q246" s="1">
        <v>0.03</v>
      </c>
      <c r="R246" s="1">
        <v>2E-3</v>
      </c>
      <c r="S246" s="1">
        <v>0.03</v>
      </c>
      <c r="T246" s="1">
        <v>0.13800000000000001</v>
      </c>
      <c r="U246" s="1">
        <v>0.23499999999999999</v>
      </c>
      <c r="V246" s="1">
        <v>0</v>
      </c>
      <c r="W246" s="1">
        <v>1.6E-2</v>
      </c>
      <c r="X246" s="1">
        <v>0</v>
      </c>
      <c r="Y246" s="1">
        <v>1.6E-2</v>
      </c>
      <c r="Z246" s="1">
        <v>1E-3</v>
      </c>
      <c r="AA246" s="1">
        <v>2.4E-2</v>
      </c>
      <c r="AB246" s="1">
        <v>0.74199999999999999</v>
      </c>
      <c r="AC246" s="1">
        <v>0.84399999999999997</v>
      </c>
      <c r="AD246" s="1"/>
      <c r="AE246" s="1"/>
    </row>
    <row r="247" spans="1:31" x14ac:dyDescent="0.25">
      <c r="A247" t="str">
        <f>B247&amp;VLOOKUP(D247, Lookups!$E$2:$F$8,2,FALSE)&amp;C247</f>
        <v>ProstateAll Routes80-84</v>
      </c>
      <c r="B247" t="s">
        <v>21</v>
      </c>
      <c r="C247" t="s">
        <v>11</v>
      </c>
      <c r="D247" t="s">
        <v>34</v>
      </c>
      <c r="E247" s="1">
        <v>9.7533451555698852E-3</v>
      </c>
      <c r="F247" s="1">
        <v>1.2896985329679188E-2</v>
      </c>
      <c r="G247" s="1">
        <v>0.14549411575044333</v>
      </c>
      <c r="H247" s="1">
        <v>8.0606158310494915E-5</v>
      </c>
      <c r="I247" s="1">
        <v>8.0606158310494915E-5</v>
      </c>
      <c r="J247" s="1">
        <v>7.0127357730130581E-3</v>
      </c>
      <c r="K247" s="1">
        <v>0.82468160567467352</v>
      </c>
      <c r="L247" s="1">
        <v>0</v>
      </c>
      <c r="M247" s="1">
        <v>1</v>
      </c>
      <c r="N247" s="2">
        <v>12406</v>
      </c>
      <c r="P247" s="1">
        <v>8.0000000000000002E-3</v>
      </c>
      <c r="Q247" s="1">
        <v>1.2E-2</v>
      </c>
      <c r="R247" s="1">
        <v>1.0999999999999999E-2</v>
      </c>
      <c r="S247" s="1">
        <v>1.4999999999999999E-2</v>
      </c>
      <c r="T247" s="1">
        <v>0.13900000000000001</v>
      </c>
      <c r="U247" s="1">
        <v>0.152</v>
      </c>
      <c r="V247" s="1">
        <v>0</v>
      </c>
      <c r="W247" s="1">
        <v>0</v>
      </c>
      <c r="X247" s="1">
        <v>0</v>
      </c>
      <c r="Y247" s="1">
        <v>0</v>
      </c>
      <c r="Z247" s="1">
        <v>6.0000000000000001E-3</v>
      </c>
      <c r="AA247" s="1">
        <v>8.9999999999999993E-3</v>
      </c>
      <c r="AB247" s="1">
        <v>0.81799999999999995</v>
      </c>
      <c r="AC247" s="1">
        <v>0.83099999999999996</v>
      </c>
      <c r="AD247" s="1">
        <v>0</v>
      </c>
      <c r="AE247" s="1">
        <v>0</v>
      </c>
    </row>
    <row r="248" spans="1:31" x14ac:dyDescent="0.25">
      <c r="A248" t="str">
        <f>B248&amp;VLOOKUP(D248, Lookups!$E$2:$F$8,2,FALSE)&amp;C248</f>
        <v>ProstateScreen detected85+</v>
      </c>
      <c r="B248" t="s">
        <v>21</v>
      </c>
      <c r="C248" t="s">
        <v>12</v>
      </c>
      <c r="D248" t="s">
        <v>30</v>
      </c>
      <c r="E248" s="1" t="s">
        <v>137</v>
      </c>
      <c r="F248" s="1" t="s">
        <v>137</v>
      </c>
      <c r="G248" s="1" t="s">
        <v>137</v>
      </c>
      <c r="H248" s="1" t="s">
        <v>137</v>
      </c>
      <c r="I248" s="1" t="s">
        <v>137</v>
      </c>
      <c r="J248" s="1" t="s">
        <v>137</v>
      </c>
      <c r="K248" s="1" t="s">
        <v>137</v>
      </c>
      <c r="L248" s="1" t="s">
        <v>137</v>
      </c>
      <c r="M248" s="1">
        <v>0</v>
      </c>
      <c r="N248" s="2">
        <v>0</v>
      </c>
      <c r="P248" s="1"/>
      <c r="Q248" s="1"/>
      <c r="R248" s="1"/>
      <c r="S248" s="1"/>
      <c r="T248" s="1"/>
      <c r="U248" s="1"/>
      <c r="V248" s="1"/>
      <c r="W248" s="1"/>
      <c r="X248" s="1"/>
      <c r="Y248" s="1"/>
      <c r="Z248" s="1"/>
      <c r="AA248" s="1"/>
      <c r="AB248" s="1"/>
      <c r="AC248" s="1"/>
      <c r="AD248" s="1"/>
      <c r="AE248" s="1"/>
    </row>
    <row r="249" spans="1:31" x14ac:dyDescent="0.25">
      <c r="A249" t="str">
        <f>B249&amp;VLOOKUP(D249, Lookups!$E$2:$F$8,2,FALSE)&amp;C249</f>
        <v>ProstateTwo Week Wait85+</v>
      </c>
      <c r="B249" t="s">
        <v>21</v>
      </c>
      <c r="C249" t="s">
        <v>12</v>
      </c>
      <c r="D249" t="s">
        <v>31</v>
      </c>
      <c r="E249" s="1">
        <v>5.0735667174023336E-4</v>
      </c>
      <c r="F249" s="1">
        <v>9.1324200913242004E-3</v>
      </c>
      <c r="G249" s="1">
        <v>3.9066463723997968E-2</v>
      </c>
      <c r="H249" s="1">
        <v>0</v>
      </c>
      <c r="I249" s="1">
        <v>0</v>
      </c>
      <c r="J249" s="1">
        <v>2.7904616945712835E-3</v>
      </c>
      <c r="K249" s="1">
        <v>0.94850329781836629</v>
      </c>
      <c r="L249" s="1">
        <v>0</v>
      </c>
      <c r="M249" s="1">
        <v>1</v>
      </c>
      <c r="N249" s="2">
        <v>3942</v>
      </c>
      <c r="P249" s="1">
        <v>0</v>
      </c>
      <c r="Q249" s="1">
        <v>2E-3</v>
      </c>
      <c r="R249" s="1">
        <v>7.0000000000000001E-3</v>
      </c>
      <c r="S249" s="1">
        <v>1.2999999999999999E-2</v>
      </c>
      <c r="T249" s="1">
        <v>3.3000000000000002E-2</v>
      </c>
      <c r="U249" s="1">
        <v>4.5999999999999999E-2</v>
      </c>
      <c r="V249" s="1">
        <v>0</v>
      </c>
      <c r="W249" s="1">
        <v>1E-3</v>
      </c>
      <c r="X249" s="1">
        <v>0</v>
      </c>
      <c r="Y249" s="1">
        <v>1E-3</v>
      </c>
      <c r="Z249" s="1">
        <v>2E-3</v>
      </c>
      <c r="AA249" s="1">
        <v>5.0000000000000001E-3</v>
      </c>
      <c r="AB249" s="1">
        <v>0.94099999999999995</v>
      </c>
      <c r="AC249" s="1">
        <v>0.95499999999999996</v>
      </c>
      <c r="AD249" s="1">
        <v>0</v>
      </c>
      <c r="AE249" s="1">
        <v>1E-3</v>
      </c>
    </row>
    <row r="250" spans="1:31" x14ac:dyDescent="0.25">
      <c r="A250" t="str">
        <f>B250&amp;VLOOKUP(D250, Lookups!$E$2:$F$8,2,FALSE)&amp;C250</f>
        <v>ProstateGP referral85+</v>
      </c>
      <c r="B250" t="s">
        <v>21</v>
      </c>
      <c r="C250" t="s">
        <v>12</v>
      </c>
      <c r="D250" t="s">
        <v>2</v>
      </c>
      <c r="E250" s="1">
        <v>3.854389721627409E-3</v>
      </c>
      <c r="F250" s="1">
        <v>1.284796573875803E-2</v>
      </c>
      <c r="G250" s="1">
        <v>5.3961456102783724E-2</v>
      </c>
      <c r="H250" s="1">
        <v>0</v>
      </c>
      <c r="I250" s="1">
        <v>0</v>
      </c>
      <c r="J250" s="1">
        <v>6.8522483940042823E-3</v>
      </c>
      <c r="K250" s="1">
        <v>0.92248394004282652</v>
      </c>
      <c r="L250" s="1">
        <v>0</v>
      </c>
      <c r="M250" s="1">
        <v>1</v>
      </c>
      <c r="N250" s="2">
        <v>2335</v>
      </c>
      <c r="P250" s="1">
        <v>2E-3</v>
      </c>
      <c r="Q250" s="1">
        <v>7.0000000000000001E-3</v>
      </c>
      <c r="R250" s="1">
        <v>8.9999999999999993E-3</v>
      </c>
      <c r="S250" s="1">
        <v>1.7999999999999999E-2</v>
      </c>
      <c r="T250" s="1">
        <v>4.5999999999999999E-2</v>
      </c>
      <c r="U250" s="1">
        <v>6.4000000000000001E-2</v>
      </c>
      <c r="V250" s="1">
        <v>0</v>
      </c>
      <c r="W250" s="1">
        <v>2E-3</v>
      </c>
      <c r="X250" s="1">
        <v>0</v>
      </c>
      <c r="Y250" s="1">
        <v>2E-3</v>
      </c>
      <c r="Z250" s="1">
        <v>4.0000000000000001E-3</v>
      </c>
      <c r="AA250" s="1">
        <v>1.0999999999999999E-2</v>
      </c>
      <c r="AB250" s="1">
        <v>0.91100000000000003</v>
      </c>
      <c r="AC250" s="1">
        <v>0.93300000000000005</v>
      </c>
      <c r="AD250" s="1">
        <v>0</v>
      </c>
      <c r="AE250" s="1">
        <v>2E-3</v>
      </c>
    </row>
    <row r="251" spans="1:31" x14ac:dyDescent="0.25">
      <c r="A251" t="str">
        <f>B251&amp;VLOOKUP(D251, Lookups!$E$2:$F$8,2,FALSE)&amp;C251</f>
        <v>ProstateIP &amp; OP85+</v>
      </c>
      <c r="B251" t="s">
        <v>21</v>
      </c>
      <c r="C251" t="s">
        <v>12</v>
      </c>
      <c r="D251" t="s">
        <v>32</v>
      </c>
      <c r="E251" s="1">
        <v>1.3994910941475827E-2</v>
      </c>
      <c r="F251" s="1">
        <v>1.1450381679389313E-2</v>
      </c>
      <c r="G251" s="1">
        <v>5.4707379134860054E-2</v>
      </c>
      <c r="H251" s="1">
        <v>0</v>
      </c>
      <c r="I251" s="1">
        <v>0</v>
      </c>
      <c r="J251" s="1">
        <v>7.6335877862595417E-3</v>
      </c>
      <c r="K251" s="1">
        <v>0.91221374045801529</v>
      </c>
      <c r="L251" s="1">
        <v>0</v>
      </c>
      <c r="M251" s="1">
        <v>1</v>
      </c>
      <c r="N251" s="2">
        <v>786</v>
      </c>
      <c r="P251" s="1">
        <v>8.0000000000000002E-3</v>
      </c>
      <c r="Q251" s="1">
        <v>2.5000000000000001E-2</v>
      </c>
      <c r="R251" s="1">
        <v>6.0000000000000001E-3</v>
      </c>
      <c r="S251" s="1">
        <v>2.1999999999999999E-2</v>
      </c>
      <c r="T251" s="1">
        <v>4.1000000000000002E-2</v>
      </c>
      <c r="U251" s="1">
        <v>7.2999999999999995E-2</v>
      </c>
      <c r="V251" s="1">
        <v>0</v>
      </c>
      <c r="W251" s="1">
        <v>5.0000000000000001E-3</v>
      </c>
      <c r="X251" s="1">
        <v>0</v>
      </c>
      <c r="Y251" s="1">
        <v>5.0000000000000001E-3</v>
      </c>
      <c r="Z251" s="1">
        <v>4.0000000000000001E-3</v>
      </c>
      <c r="AA251" s="1">
        <v>1.7000000000000001E-2</v>
      </c>
      <c r="AB251" s="1">
        <v>0.89</v>
      </c>
      <c r="AC251" s="1">
        <v>0.93</v>
      </c>
      <c r="AD251" s="1">
        <v>0</v>
      </c>
      <c r="AE251" s="1">
        <v>5.0000000000000001E-3</v>
      </c>
    </row>
    <row r="252" spans="1:31" x14ac:dyDescent="0.25">
      <c r="A252" t="str">
        <f>B252&amp;VLOOKUP(D252, Lookups!$E$2:$F$8,2,FALSE)&amp;C252</f>
        <v>ProstateEmergency presentation85+</v>
      </c>
      <c r="B252" t="s">
        <v>21</v>
      </c>
      <c r="C252" t="s">
        <v>12</v>
      </c>
      <c r="D252" t="s">
        <v>33</v>
      </c>
      <c r="E252" s="1">
        <v>6.6711140760506999E-4</v>
      </c>
      <c r="F252" s="1">
        <v>6.3375583722481655E-3</v>
      </c>
      <c r="G252" s="1">
        <v>5.5370246831220812E-2</v>
      </c>
      <c r="H252" s="1">
        <v>0</v>
      </c>
      <c r="I252" s="1">
        <v>0</v>
      </c>
      <c r="J252" s="1">
        <v>3.3355570380253501E-3</v>
      </c>
      <c r="K252" s="1">
        <v>0.93428952635090057</v>
      </c>
      <c r="L252" s="1">
        <v>0</v>
      </c>
      <c r="M252" s="1">
        <v>1</v>
      </c>
      <c r="N252" s="2">
        <v>2998</v>
      </c>
      <c r="P252" s="1">
        <v>0</v>
      </c>
      <c r="Q252" s="1">
        <v>2E-3</v>
      </c>
      <c r="R252" s="1">
        <v>4.0000000000000001E-3</v>
      </c>
      <c r="S252" s="1">
        <v>0.01</v>
      </c>
      <c r="T252" s="1">
        <v>4.8000000000000001E-2</v>
      </c>
      <c r="U252" s="1">
        <v>6.4000000000000001E-2</v>
      </c>
      <c r="V252" s="1">
        <v>0</v>
      </c>
      <c r="W252" s="1">
        <v>1E-3</v>
      </c>
      <c r="X252" s="1">
        <v>0</v>
      </c>
      <c r="Y252" s="1">
        <v>1E-3</v>
      </c>
      <c r="Z252" s="1">
        <v>2E-3</v>
      </c>
      <c r="AA252" s="1">
        <v>6.0000000000000001E-3</v>
      </c>
      <c r="AB252" s="1">
        <v>0.92500000000000004</v>
      </c>
      <c r="AC252" s="1">
        <v>0.94299999999999995</v>
      </c>
      <c r="AD252" s="1">
        <v>0</v>
      </c>
      <c r="AE252" s="1">
        <v>1E-3</v>
      </c>
    </row>
    <row r="253" spans="1:31" x14ac:dyDescent="0.25">
      <c r="A253" t="str">
        <f>B253&amp;VLOOKUP(D253, Lookups!$E$2:$F$8,2,FALSE)&amp;C253</f>
        <v>ProstateUnknown85+</v>
      </c>
      <c r="B253" t="s">
        <v>21</v>
      </c>
      <c r="C253" t="s">
        <v>12</v>
      </c>
      <c r="D253" t="s">
        <v>4</v>
      </c>
      <c r="E253" s="1">
        <v>4.9019607843137254E-3</v>
      </c>
      <c r="F253" s="1">
        <v>0</v>
      </c>
      <c r="G253" s="1">
        <v>7.3529411764705885E-2</v>
      </c>
      <c r="H253" s="1">
        <v>0</v>
      </c>
      <c r="I253" s="1">
        <v>0</v>
      </c>
      <c r="J253" s="1">
        <v>0</v>
      </c>
      <c r="K253" s="1">
        <v>0.92156862745098034</v>
      </c>
      <c r="L253" s="1" t="s">
        <v>137</v>
      </c>
      <c r="M253" s="1">
        <v>1</v>
      </c>
      <c r="N253" s="2">
        <v>204</v>
      </c>
      <c r="P253" s="1">
        <v>1E-3</v>
      </c>
      <c r="Q253" s="1">
        <v>2.7E-2</v>
      </c>
      <c r="R253" s="1">
        <v>0</v>
      </c>
      <c r="S253" s="1">
        <v>1.7999999999999999E-2</v>
      </c>
      <c r="T253" s="1">
        <v>4.4999999999999998E-2</v>
      </c>
      <c r="U253" s="1">
        <v>0.11799999999999999</v>
      </c>
      <c r="V253" s="1">
        <v>0</v>
      </c>
      <c r="W253" s="1">
        <v>1.7999999999999999E-2</v>
      </c>
      <c r="X253" s="1">
        <v>0</v>
      </c>
      <c r="Y253" s="1">
        <v>1.7999999999999999E-2</v>
      </c>
      <c r="Z253" s="1">
        <v>0</v>
      </c>
      <c r="AA253" s="1">
        <v>1.7999999999999999E-2</v>
      </c>
      <c r="AB253" s="1">
        <v>0.876</v>
      </c>
      <c r="AC253" s="1">
        <v>0.95099999999999996</v>
      </c>
      <c r="AD253" s="1"/>
      <c r="AE253" s="1"/>
    </row>
    <row r="254" spans="1:31" x14ac:dyDescent="0.25">
      <c r="A254" t="str">
        <f>B254&amp;VLOOKUP(D254, Lookups!$E$2:$F$8,2,FALSE)&amp;C254</f>
        <v>ProstateAll Routes85+</v>
      </c>
      <c r="B254" t="s">
        <v>21</v>
      </c>
      <c r="C254" t="s">
        <v>12</v>
      </c>
      <c r="D254" t="s">
        <v>34</v>
      </c>
      <c r="E254" s="1">
        <v>2.4354603019970775E-3</v>
      </c>
      <c r="F254" s="1">
        <v>9.1573307355090113E-3</v>
      </c>
      <c r="G254" s="1">
        <v>4.9098879688261078E-2</v>
      </c>
      <c r="H254" s="1">
        <v>0</v>
      </c>
      <c r="I254" s="1">
        <v>0</v>
      </c>
      <c r="J254" s="1">
        <v>4.1889917194349729E-3</v>
      </c>
      <c r="K254" s="1">
        <v>0.93511933755479781</v>
      </c>
      <c r="L254" s="1">
        <v>0</v>
      </c>
      <c r="M254" s="1">
        <v>1</v>
      </c>
      <c r="N254" s="2">
        <v>10265</v>
      </c>
      <c r="P254" s="1">
        <v>2E-3</v>
      </c>
      <c r="Q254" s="1">
        <v>4.0000000000000001E-3</v>
      </c>
      <c r="R254" s="1">
        <v>7.0000000000000001E-3</v>
      </c>
      <c r="S254" s="1">
        <v>1.0999999999999999E-2</v>
      </c>
      <c r="T254" s="1">
        <v>4.4999999999999998E-2</v>
      </c>
      <c r="U254" s="1">
        <v>5.2999999999999999E-2</v>
      </c>
      <c r="V254" s="1">
        <v>0</v>
      </c>
      <c r="W254" s="1">
        <v>0</v>
      </c>
      <c r="X254" s="1">
        <v>0</v>
      </c>
      <c r="Y254" s="1">
        <v>0</v>
      </c>
      <c r="Z254" s="1">
        <v>3.0000000000000001E-3</v>
      </c>
      <c r="AA254" s="1">
        <v>6.0000000000000001E-3</v>
      </c>
      <c r="AB254" s="1">
        <v>0.93</v>
      </c>
      <c r="AC254" s="1">
        <v>0.94</v>
      </c>
      <c r="AD254" s="1">
        <v>0</v>
      </c>
      <c r="AE254" s="1">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Introduction</vt:lpstr>
      <vt:lpstr>Information</vt:lpstr>
      <vt:lpstr>Modality</vt:lpstr>
      <vt:lpstr>Age</vt:lpstr>
      <vt:lpstr>Stage</vt:lpstr>
      <vt:lpstr>Comorbidity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Winters</dc:creator>
  <cp:lastModifiedBy>Sam Winters</cp:lastModifiedBy>
  <dcterms:created xsi:type="dcterms:W3CDTF">2018-05-14T15:45:49Z</dcterms:created>
  <dcterms:modified xsi:type="dcterms:W3CDTF">2018-06-13T12:59:24Z</dcterms:modified>
</cp:coreProperties>
</file>