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<sst xmlns="http://schemas.openxmlformats.org/spreadsheetml/2006/main" count="1129" uniqueCount="743">
  <si>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</si>
  <si>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</si>
  <si>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</si>
  <si>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</si>
  <si>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</si>
  <si>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</si>
  <si>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</si>
  <si>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</si>
  <si>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</si>
  <si>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</si>
  <si>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</si>
  <si>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</si>
  <si>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</si>
  <si>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</si>
  <si>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</si>
  <si>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</si>
  <si>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</si>
  <si>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</si>
  <si>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</si>
  <si>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</si>
  <si>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</si>
  <si>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</si>
  <si>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</si>
  <si>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</si>
  <si>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</si>
  <si>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</si>
  <si>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</si>
  <si>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</si>
  <si>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</si>
  <si>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</si>
  <si>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</si>
  <si>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</si>
  <si>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</si>
  <si>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</si>
  <si>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</si>
  <si>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</si>
  <si>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</si>
  <si>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</si>
  <si>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</si>
  <si>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</si>
  <si>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</si>
  <si>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</si>
  <si>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</si>
  <si>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</si>
  <si>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</si>
  <si>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</si>
  <si>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</si>
  <si>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</si>
  <si>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</si>
  <si>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</si>
  <si>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</si>
  <si>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</si>
  <si>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</si>
  <si>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</si>
  <si>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</si>
  <si>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</si>
  <si>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</si>
  <si>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H81013</t>
  </si>
  <si>
    <t>H81039</t>
  </si>
  <si>
    <t>H81040</t>
  </si>
  <si>
    <t>H81069</t>
  </si>
  <si>
    <t>H81075</t>
  </si>
  <si>
    <t>H81082</t>
  </si>
  <si>
    <t>H81130</t>
  </si>
  <si>
    <t>H81620</t>
  </si>
  <si>
    <t>H81622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</si>
  <si>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</si>
  <si>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</si>
  <si>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</si>
  <si>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</si>
  <si>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</si>
  <si>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</si>
  <si>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</si>
  <si>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</si>
  <si>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</si>
  <si>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</si>
  <si>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</si>
  <si>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</si>
  <si>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</si>
  <si>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</si>
  <si>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</si>
  <si>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</si>
  <si>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</si>
  <si>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</si>
  <si>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</si>
  <si>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</si>
  <si>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</si>
  <si>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</si>
  <si>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</si>
  <si>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</si>
  <si>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</si>
  <si>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</si>
  <si>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</si>
  <si>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</si>
  <si>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</si>
  <si>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</si>
  <si>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</si>
  <si>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</si>
  <si>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</si>
  <si>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</si>
  <si>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</si>
  <si>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</si>
  <si>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</si>
  <si>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</si>
  <si>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</si>
  <si>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</si>
  <si>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</si>
  <si>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</si>
  <si>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</si>
  <si>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</si>
  <si>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</si>
  <si>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</si>
  <si>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</si>
  <si>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</si>
  <si>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</si>
  <si>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</si>
  <si>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</si>
  <si>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</si>
  <si>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</si>
  <si>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</si>
  <si>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</si>
  <si>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</si>
  <si>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</si>
  <si>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</si>
  <si>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</si>
  <si>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</si>
  <si>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</si>
  <si>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</si>
  <si>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</si>
  <si>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</si>
  <si>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</si>
  <si>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</si>
  <si>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</si>
  <si>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</si>
  <si>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</si>
  <si>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</si>
  <si>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</si>
  <si>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</si>
  <si>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</si>
  <si>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</si>
  <si>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</si>
  <si>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</si>
  <si>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</si>
  <si>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</si>
  <si>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</si>
  <si>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</si>
  <si>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</si>
  <si>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</si>
  <si>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</si>
  <si>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</si>
  <si>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</si>
  <si>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</si>
  <si>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</si>
  <si>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</si>
  <si>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</si>
  <si>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</si>
  <si>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</si>
  <si>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</si>
  <si>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(H81013) FRIMLEY GREEN MEDICAL CENTRE</t>
  </si>
  <si>
    <t>(H81039) PARK HOUSE SURGERY</t>
  </si>
  <si>
    <t>(H81069) PARK ROAD SURGERY</t>
  </si>
  <si>
    <t>(H81620) HEATHERSIDE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</si>
  <si>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</si>
  <si>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</si>
  <si>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</si>
  <si>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</si>
  <si>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</si>
  <si>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</si>
  <si>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</si>
  <si>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</si>
  <si>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</si>
  <si>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</si>
  <si>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</si>
  <si>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</si>
  <si>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</si>
  <si>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</si>
  <si>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</si>
  <si>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</si>
  <si>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</si>
  <si>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</si>
  <si>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</si>
  <si>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</si>
  <si>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</si>
  <si>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</si>
  <si>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</si>
  <si>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</si>
  <si>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</si>
  <si>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</si>
  <si>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</si>
  <si>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</si>
  <si>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</si>
  <si>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</si>
  <si>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</si>
  <si>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</si>
  <si>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</si>
  <si>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</si>
  <si>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</si>
  <si>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</si>
  <si>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</si>
  <si>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</si>
  <si>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</si>
  <si>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</si>
  <si>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</si>
  <si>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</si>
  <si>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</si>
  <si>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</si>
  <si>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</si>
  <si>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</si>
  <si>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</si>
  <si>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</si>
  <si>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</si>
  <si>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</si>
  <si>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</si>
  <si>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</si>
  <si>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</si>
  <si>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</si>
  <si>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</si>
  <si>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</si>
  <si>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</si>
  <si>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</si>
  <si>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</si>
  <si>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</si>
  <si>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</si>
  <si>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</si>
  <si>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</si>
  <si>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</si>
  <si>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</si>
  <si>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</si>
  <si>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</si>
  <si>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</si>
  <si>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</si>
  <si>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</si>
  <si>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</si>
  <si>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</si>
  <si>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</si>
  <si>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</si>
  <si>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</si>
  <si>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</si>
  <si>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</si>
  <si>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</si>
  <si>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</si>
  <si>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</si>
  <si>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</si>
  <si>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</si>
  <si>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</si>
  <si>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</si>
  <si>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</si>
  <si>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</si>
  <si>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</si>
  <si>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</si>
  <si>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</si>
  <si>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</si>
  <si>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</si>
  <si>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</si>
  <si>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</si>
  <si>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</si>
  <si>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</si>
  <si>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</si>
  <si>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</si>
  <si>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</si>
  <si>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</si>
  <si>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</si>
  <si>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</si>
  <si>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</si>
  <si>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</si>
  <si>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</si>
  <si>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</si>
  <si>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</si>
  <si>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</si>
  <si>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</si>
  <si>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</si>
  <si>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</si>
  <si>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</si>
  <si>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</si>
  <si>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</si>
  <si>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</si>
  <si>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</si>
  <si>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</si>
  <si>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</si>
  <si>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</si>
  <si>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</si>
  <si>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</si>
  <si>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</si>
  <si>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</si>
  <si>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</si>
  <si>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</si>
  <si>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</si>
  <si>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</si>
  <si>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</si>
  <si>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</si>
  <si>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</si>
  <si>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</si>
  <si>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</si>
  <si>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</si>
  <si>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</si>
  <si>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</si>
  <si>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</si>
  <si>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</si>
  <si>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</si>
  <si>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</si>
  <si>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</si>
  <si>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</si>
  <si>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</si>
  <si>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</si>
  <si>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</si>
  <si>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</si>
  <si>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</si>
  <si>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</si>
  <si>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</si>
  <si>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</si>
  <si>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</si>
  <si>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</si>
  <si>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</si>
  <si>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</si>
  <si>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</si>
  <si>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</si>
  <si>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</si>
  <si>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</si>
  <si>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</si>
  <si>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</si>
  <si>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</si>
  <si>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</si>
  <si>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</si>
  <si>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</si>
  <si>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</si>
  <si>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</si>
  <si>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</si>
  <si>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</si>
  <si>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</si>
  <si>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</si>
  <si>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</si>
  <si>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</si>
  <si>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</si>
  <si>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</si>
  <si>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</si>
  <si>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</si>
  <si>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</si>
  <si>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</si>
  <si>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</si>
  <si>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</si>
  <si>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</si>
  <si>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</si>
  <si>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</si>
  <si>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</si>
  <si>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</si>
  <si>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</si>
  <si>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</si>
  <si>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</si>
  <si>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</si>
  <si>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</si>
  <si>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</si>
  <si>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</si>
  <si>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</si>
  <si>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</si>
  <si>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</si>
  <si>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</si>
  <si>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</si>
  <si>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</si>
  <si>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</si>
  <si>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</si>
  <si>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</si>
  <si>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</si>
  <si>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(H81040) THE SURGERY</t>
  </si>
  <si>
    <t>(H81075) GORDON ROAD SURGERY</t>
  </si>
  <si>
    <t>(H81130) ALL SAINTS HOUSE</t>
  </si>
  <si>
    <t>(H81622) THE OLD DEAN SURGERY</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</si>
  <si>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</si>
  <si>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</si>
  <si>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</si>
  <si>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</si>
  <si>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</si>
  <si>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</si>
  <si>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</si>
  <si>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</si>
  <si>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</si>
  <si>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</si>
  <si>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</si>
  <si>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</si>
  <si>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</si>
  <si>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</si>
  <si>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</si>
  <si>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</si>
  <si>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</si>
  <si>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</si>
  <si>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</si>
  <si>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</si>
  <si>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</si>
  <si>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</si>
  <si>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</si>
  <si>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0.018</t>
  </si>
  <si>
    <t>0.07</t>
  </si>
  <si>
    <t>61.6589</t>
  </si>
  <si>
    <t>0.0302492</t>
  </si>
  <si>
    <t>0.148231</t>
  </si>
  <si>
    <t>91.7192</t>
  </si>
  <si>
    <t>0.6875</t>
  </si>
  <si>
    <t>156.098</t>
  </si>
  <si>
    <t>0.16</t>
  </si>
  <si>
    <t>0.06</t>
  </si>
  <si>
    <t>0.0221</t>
  </si>
  <si>
    <t>0.0152</t>
  </si>
  <si>
    <t>0.333333333</t>
  </si>
  <si>
    <t>0.4</t>
  </si>
  <si>
    <t>0.35</t>
  </si>
  <si>
    <t>0.173077</t>
  </si>
  <si>
    <t>0.423077</t>
  </si>
  <si>
    <t>0.178571429</t>
  </si>
  <si>
    <t>0.388888889</t>
  </si>
  <si>
    <t>0.75</t>
  </si>
  <si>
    <t>0.176470588</t>
  </si>
  <si>
    <t>0.470588</t>
  </si>
  <si>
    <t>0.0198</t>
  </si>
  <si>
    <t>0.03</t>
  </si>
  <si>
    <t>0.236842105</t>
  </si>
  <si>
    <t>394.3217666</t>
  </si>
  <si>
    <t>715.5635063</t>
  </si>
  <si>
    <t>0.464285714</t>
  </si>
  <si>
    <t>0.118135671</t>
  </si>
  <si>
    <t>0.707113</t>
  </si>
  <si>
    <t>0.740282</t>
  </si>
  <si>
    <t>0.445714</t>
  </si>
  <si>
    <t>323.0272266</t>
  </si>
  <si>
    <t>0.1867</t>
  </si>
  <si>
    <t>507.6142132</t>
  </si>
  <si>
    <t>276.8804799</t>
  </si>
  <si>
    <t>830.6414398</t>
  </si>
  <si>
    <t>325.1680035</t>
  </si>
  <si>
    <t>0.155319373</t>
  </si>
  <si>
    <t>411.8471784</t>
  </si>
  <si>
    <t>210.4598548</t>
  </si>
  <si>
    <t>0.749837</t>
  </si>
  <si>
    <t>0.650456</t>
  </si>
  <si>
    <t>0.767115</t>
  </si>
  <si>
    <t>0.583565</t>
  </si>
  <si>
    <t>0.55935</t>
  </si>
  <si>
    <t>1454.609183</t>
  </si>
  <si>
    <t>0.077821012</t>
  </si>
  <si>
    <t>0.338461538</t>
  </si>
  <si>
    <t>357.211817</t>
  </si>
  <si>
    <t>216.609149</t>
  </si>
  <si>
    <t>199.936862</t>
  </si>
  <si>
    <t>591.3476502</t>
  </si>
  <si>
    <t>405.9918802</t>
  </si>
  <si>
    <t>887.0214753</t>
  </si>
  <si>
    <t>0.305084746</t>
  </si>
  <si>
    <t>0.167600373</t>
  </si>
  <si>
    <t>452.4886878</t>
  </si>
  <si>
    <t>230.7337333</t>
  </si>
  <si>
    <t>0.768638</t>
  </si>
  <si>
    <t>0.773613</t>
  </si>
  <si>
    <t>0.612877</t>
  </si>
  <si>
    <t>0.590476</t>
  </si>
  <si>
    <t>1618.425148</t>
  </si>
  <si>
    <t>0.108527132</t>
  </si>
  <si>
    <t>385.4908584</t>
  </si>
  <si>
    <t>268.5610327</t>
  </si>
  <si>
    <t>17.52541185</t>
  </si>
  <si>
    <t>233.426704</t>
  </si>
  <si>
    <t>701.2262281</t>
  </si>
  <si>
    <t>476.9130718</t>
  </si>
  <si>
    <t>1090.944198</t>
  </si>
  <si>
    <t>441.826215</t>
  </si>
  <si>
    <t>0.447368421</t>
  </si>
  <si>
    <t>0.173971809</t>
  </si>
  <si>
    <t>482.4151883</t>
  </si>
  <si>
    <t>231.7049623</t>
  </si>
  <si>
    <t>0.789532</t>
  </si>
  <si>
    <t>0.759191</t>
  </si>
  <si>
    <t>0.784803</t>
  </si>
  <si>
    <t>0.616708</t>
  </si>
  <si>
    <t>0.6067</t>
  </si>
  <si>
    <t>1805.963881</t>
  </si>
  <si>
    <t>0.13253012</t>
  </si>
  <si>
    <t>0.425531915</t>
  </si>
  <si>
    <t>420.9197096</t>
  </si>
  <si>
    <t>368.5237373</t>
  </si>
  <si>
    <t>31.12356054</t>
  </si>
  <si>
    <t>346.8458704</t>
  </si>
  <si>
    <t>536.6726297</t>
  </si>
  <si>
    <t>1235.541535</t>
  </si>
  <si>
    <t>598.4286658</t>
  </si>
  <si>
    <t>0.357142857</t>
  </si>
  <si>
    <t>0.200207918</t>
  </si>
  <si>
    <t>695.114887</t>
  </si>
  <si>
    <t>264.5502646</t>
  </si>
  <si>
    <t>0.0249</t>
  </si>
  <si>
    <t>0.803571</t>
  </si>
  <si>
    <t>0.782344</t>
  </si>
  <si>
    <t>0.836735</t>
  </si>
  <si>
    <t>0.625767</t>
  </si>
  <si>
    <t>0.633588</t>
  </si>
  <si>
    <t>2481.173972</t>
  </si>
  <si>
    <t>1.1547</t>
  </si>
  <si>
    <t>0.486486</t>
  </si>
  <si>
    <t>623.7546565</t>
  </si>
  <si>
    <t>415.1380575</t>
  </si>
  <si>
    <t>48.27186716</t>
  </si>
  <si>
    <t>820.6217416</t>
  </si>
  <si>
    <t>814.9316509</t>
  </si>
  <si>
    <t>714.4236339</t>
  </si>
  <si>
    <t>1525.969481</t>
  </si>
  <si>
    <t>657.9868403</t>
  </si>
  <si>
    <t>0.355556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</si>
  <si>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</si>
  <si>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</si>
  <si>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</si>
  <si>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</si>
  <si>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</si>
  <si>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</si>
  <si>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</si>
  <si>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</si>
  <si>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</si>
  <si>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</si>
  <si>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</si>
  <si>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</si>
  <si>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</si>
  <si>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</si>
  <si>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</si>
  <si>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</si>
  <si>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</si>
  <si>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</si>
  <si>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</si>
  <si>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</si>
  <si>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</si>
  <si>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</si>
  <si>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</si>
  <si>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</si>
  <si>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</si>
  <si>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</si>
  <si>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</si>
  <si>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</si>
  <si>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</si>
  <si>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</si>
  <si>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</si>
  <si>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</si>
  <si>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</si>
  <si>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</si>
  <si>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</si>
  <si>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</si>
  <si>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</si>
  <si>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</si>
  <si>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</si>
  <si>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</si>
  <si>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</si>
  <si>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</si>
  <si>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</si>
  <si>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</si>
  <si>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</si>
  <si>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</si>
  <si>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</si>
  <si>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</si>
  <si>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</si>
  <si>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</si>
  <si>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</si>
  <si>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</si>
  <si>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</si>
  <si>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</si>
  <si>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</si>
  <si>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</si>
  <si>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</si>
  <si>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</si>
  <si>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</si>
  <si>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</si>
  <si>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</si>
  <si>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</si>
  <si>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</si>
  <si>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</si>
  <si>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</si>
  <si>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</si>
  <si>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</si>
  <si>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</si>
  <si>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</si>
  <si>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</si>
  <si>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</si>
  <si>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</si>
  <si>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</si>
  <si>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</si>
  <si>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</si>
  <si>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</si>
  <si>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</si>
  <si>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</si>
  <si>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</si>
  <si>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</si>
  <si>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</si>
  <si>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</si>
  <si>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</si>
  <si>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</si>
  <si>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</si>
  <si>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</si>
  <si>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</si>
  <si>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</si>
  <si>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</si>
  <si>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</si>
  <si>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</si>
  <si>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</si>
  <si>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</si>
  <si>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</si>
  <si>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</si>
  <si>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</si>
  <si>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</si>
  <si>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</si>
  <si>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</si>
  <si>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</si>
  <si>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</si>
  <si>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</si>
  <si>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</si>
  <si>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</si>
  <si>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</si>
  <si>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</si>
  <si>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</si>
  <si>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</si>
  <si>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</si>
  <si>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</si>
  <si>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</si>
  <si>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</si>
  <si>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</si>
  <si>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</si>
  <si>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</si>
  <si>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</si>
  <si>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</si>
  <si>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</si>
  <si>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</si>
  <si>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</si>
  <si>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</si>
  <si>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</si>
  <si>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</si>
  <si>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</si>
  <si>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</si>
  <si>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</si>
  <si>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</si>
  <si>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</si>
  <si>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</si>
  <si>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</si>
  <si>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</si>
  <si>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</si>
  <si>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</si>
  <si>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</si>
  <si>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</si>
  <si>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</si>
  <si>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</si>
  <si>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</si>
  <si>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</si>
  <si>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</si>
  <si>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</si>
  <si>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</si>
  <si>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</si>
  <si>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</si>
  <si>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</si>
  <si>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</si>
  <si>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</si>
  <si>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</si>
  <si>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</si>
  <si>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</si>
  <si>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</si>
  <si>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</si>
  <si>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</si>
  <si>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</si>
  <si>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</si>
  <si>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</si>
  <si>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</si>
  <si>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</si>
  <si>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</si>
  <si>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</si>
  <si>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</si>
  <si>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</si>
  <si>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</si>
  <si>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</si>
  <si>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</si>
  <si>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</si>
  <si>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</si>
  <si>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</si>
  <si>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</si>
  <si>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</si>
  <si>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</si>
  <si>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</si>
  <si>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</si>
  <si>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</si>
  <si>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</si>
  <si>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</si>
  <si>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</si>
  <si>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</si>
  <si>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</si>
  <si>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</si>
  <si>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</si>
  <si>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</si>
  <si>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</si>
  <si>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</si>
  <si>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</si>
  <si>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</si>
  <si>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</si>
  <si>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</si>
  <si>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</si>
  <si>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</si>
  <si>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</si>
  <si>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</si>
  <si>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</si>
  <si>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</si>
  <si>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</si>
  <si>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</si>
  <si>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</si>
  <si>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</si>
  <si>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</si>
  <si>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</si>
  <si>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</si>
  <si>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</si>
  <si>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</si>
  <si>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</si>
  <si>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</si>
  <si>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</si>
  <si>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</si>
  <si>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</si>
  <si>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</si>
  <si>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</si>
  <si>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</si>
  <si>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</si>
  <si>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</si>
  <si>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</si>
  <si>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</si>
  <si>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</si>
  <si>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</si>
  <si>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</si>
  <si>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</si>
  <si>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</si>
  <si>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</si>
  <si>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</si>
  <si>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</si>
  <si>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</si>
  <si>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</si>
  <si>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</si>
  <si>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</si>
  <si>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</si>
  <si>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</si>
  <si>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</si>
  <si>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</si>
  <si>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</si>
  <si>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</si>
  <si>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</si>
  <si>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</si>
  <si>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</si>
  <si>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(H81082) DR BP BOOTH+PARTNERS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</si>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</sst>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0.8296041791578974</c:v>
                </c:pt>
                <c:pt idx="3">
                  <c:v>1</c:v>
                </c:pt>
                <c:pt idx="4">
                  <c:v>0.9093013194863269</c:v>
                </c:pt>
                <c:pt idx="5">
                  <c:v>0.6000046270635594</c:v>
                </c:pt>
                <c:pt idx="6">
                  <c:v>1</c:v>
                </c:pt>
                <c:pt idx="7">
                  <c:v>0.7838927265339289</c:v>
                </c:pt>
                <c:pt idx="8">
                  <c:v>0.5404300000000001</c:v>
                </c:pt>
                <c:pt idx="9">
                  <c:v>1</c:v>
                </c:pt>
                <c:pt idx="10">
                  <c:v>0.5385551826660204</c:v>
                </c:pt>
                <c:pt idx="11">
                  <c:v>0.6287701838123286</c:v>
                </c:pt>
                <c:pt idx="12">
                  <c:v>0.8330053297706332</c:v>
                </c:pt>
                <c:pt idx="13">
                  <c:v>0</c:v>
                </c:pt>
                <c:pt idx="14">
                  <c:v>0.91231204217301</c:v>
                </c:pt>
                <c:pt idx="15">
                  <c:v>0.702771476566887</c:v>
                </c:pt>
                <c:pt idx="16">
                  <c:v>0.9055255013327046</c:v>
                </c:pt>
                <c:pt idx="17">
                  <c:v>0.8303648494218133</c:v>
                </c:pt>
                <c:pt idx="18">
                  <c:v>1</c:v>
                </c:pt>
                <c:pt idx="19">
                  <c:v>1</c:v>
                </c:pt>
                <c:pt idx="20">
                  <c:v>0.7936424758007105</c:v>
                </c:pt>
                <c:pt idx="21">
                  <c:v>1</c:v>
                </c:pt>
                <c:pt idx="22">
                  <c:v>1</c:v>
                </c:pt>
                <c:pt idx="23">
                  <c:v>1</c:v>
                </c:pt>
                <c:pt idx="24">
                  <c:v>1</c:v>
                </c:pt>
                <c:pt idx="25">
                  <c:v>0.9458151613593538</c:v>
                </c:pt>
                <c:pt idx="26">
                  <c:v>0.7440928871161904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0.5644038652047273</c:v>
                </c:pt>
                <c:pt idx="3">
                  <c:v>0.55</c:v>
                </c:pt>
                <c:pt idx="4">
                  <c:v>0.5504848865565471</c:v>
                </c:pt>
                <c:pt idx="5">
                  <c:v>0.5028721867738787</c:v>
                </c:pt>
                <c:pt idx="6">
                  <c:v>0.7254901960784315</c:v>
                </c:pt>
                <c:pt idx="7">
                  <c:v>0.6698008939455502</c:v>
                </c:pt>
                <c:pt idx="8">
                  <c:v>0.51148875</c:v>
                </c:pt>
                <c:pt idx="9">
                  <c:v>0.588637875859447</c:v>
                </c:pt>
                <c:pt idx="10">
                  <c:v>0.5114588754688537</c:v>
                </c:pt>
                <c:pt idx="11">
                  <c:v>0.5484590708427171</c:v>
                </c:pt>
                <c:pt idx="12">
                  <c:v>0.5723865346322764</c:v>
                </c:pt>
                <c:pt idx="13">
                  <c:v>0</c:v>
                </c:pt>
                <c:pt idx="14">
                  <c:v>0.6533189967256672</c:v>
                </c:pt>
                <c:pt idx="15">
                  <c:v>0.5761309470307868</c:v>
                </c:pt>
                <c:pt idx="16">
                  <c:v>0.5602999816132025</c:v>
                </c:pt>
                <c:pt idx="17">
                  <c:v>0.725302457175923</c:v>
                </c:pt>
                <c:pt idx="18">
                  <c:v>0.7211335998393501</c:v>
                </c:pt>
                <c:pt idx="19">
                  <c:v>0.59657708183602</c:v>
                </c:pt>
                <c:pt idx="20">
                  <c:v>0.537025796687786</c:v>
                </c:pt>
                <c:pt idx="21">
                  <c:v>0.6258040008234228</c:v>
                </c:pt>
                <c:pt idx="22">
                  <c:v>0.6661941761210234</c:v>
                </c:pt>
                <c:pt idx="23">
                  <c:v>0.862236301321432</c:v>
                </c:pt>
                <c:pt idx="24">
                  <c:v>0.6646207792881561</c:v>
                </c:pt>
                <c:pt idx="25">
                  <c:v>0.5314077212999897</c:v>
                </c:pt>
                <c:pt idx="26">
                  <c:v>0.5423427165068437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0.37586097253754824</c:v>
                </c:pt>
                <c:pt idx="3">
                  <c:v>0.5</c:v>
                </c:pt>
                <c:pt idx="4">
                  <c:v>0.4314392943623379</c:v>
                </c:pt>
                <c:pt idx="5">
                  <c:v>0.4400446592071251</c:v>
                </c:pt>
                <c:pt idx="6">
                  <c:v>0.32352941176470545</c:v>
                </c:pt>
                <c:pt idx="7">
                  <c:v>0.3472084518488415</c:v>
                </c:pt>
                <c:pt idx="8">
                  <c:v>0.3755700000000001</c:v>
                </c:pt>
                <c:pt idx="9">
                  <c:v>0.44852824688698073</c:v>
                </c:pt>
                <c:pt idx="10">
                  <c:v>0.4123250958645154</c:v>
                </c:pt>
                <c:pt idx="11">
                  <c:v>0.40703050794807616</c:v>
                </c:pt>
                <c:pt idx="12">
                  <c:v>0.4367700216691115</c:v>
                </c:pt>
                <c:pt idx="13">
                  <c:v>0</c:v>
                </c:pt>
                <c:pt idx="14">
                  <c:v>0.3038647725134077</c:v>
                </c:pt>
                <c:pt idx="15">
                  <c:v>0.39523021412358517</c:v>
                </c:pt>
                <c:pt idx="16">
                  <c:v>0.45186901017950615</c:v>
                </c:pt>
                <c:pt idx="17">
                  <c:v>0.3829074593433141</c:v>
                </c:pt>
                <c:pt idx="18">
                  <c:v>0.2150011005610129</c:v>
                </c:pt>
                <c:pt idx="19">
                  <c:v>0.4714832041693672</c:v>
                </c:pt>
                <c:pt idx="20">
                  <c:v>0.2162402912940296</c:v>
                </c:pt>
                <c:pt idx="21">
                  <c:v>0.3506988679304717</c:v>
                </c:pt>
                <c:pt idx="22">
                  <c:v>0.26561968847681916</c:v>
                </c:pt>
                <c:pt idx="23">
                  <c:v>0.3901177114609318</c:v>
                </c:pt>
                <c:pt idx="24">
                  <c:v>0.49406490354461463</c:v>
                </c:pt>
                <c:pt idx="25">
                  <c:v>0.4120583792461016</c:v>
                </c:pt>
                <c:pt idx="26">
                  <c:v>0.4497628801373808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0.35000000000000003</c:v>
                </c:pt>
                <c:pt idx="4">
                  <c:v>0</c:v>
                </c:pt>
                <c:pt idx="5">
                  <c:v>0</c:v>
                </c:pt>
                <c:pt idx="6">
                  <c:v>0.04901960784313682</c:v>
                </c:pt>
                <c:pt idx="7">
                  <c:v>0</c:v>
                </c:pt>
                <c:pt idx="8">
                  <c:v>0</c:v>
                </c:pt>
                <c:pt idx="9">
                  <c:v>0.2359795317005165</c:v>
                </c:pt>
                <c:pt idx="10">
                  <c:v>0</c:v>
                </c:pt>
                <c:pt idx="11">
                  <c:v>0</c:v>
                </c:pt>
                <c:pt idx="12">
                  <c:v>0</c:v>
                </c:pt>
                <c:pt idx="13">
                  <c:v>0</c:v>
                </c:pt>
                <c:pt idx="14">
                  <c:v>0</c:v>
                </c:pt>
                <c:pt idx="15">
                  <c:v>0</c:v>
                </c:pt>
                <c:pt idx="16">
                  <c:v>0</c:v>
                </c:pt>
                <c:pt idx="17">
                  <c:v>0</c:v>
                </c:pt>
                <c:pt idx="18">
                  <c:v>0.2150011005610129</c:v>
                </c:pt>
                <c:pt idx="19">
                  <c:v>0.34483783723311223</c:v>
                </c:pt>
                <c:pt idx="20">
                  <c:v>0</c:v>
                </c:pt>
                <c:pt idx="21">
                  <c:v>0.07889748116595446</c:v>
                </c:pt>
                <c:pt idx="22">
                  <c:v>0.20081881631693593</c:v>
                </c:pt>
                <c:pt idx="23">
                  <c:v>0.2301585075031702</c:v>
                </c:pt>
                <c:pt idx="24">
                  <c:v>0.09467277800164846</c:v>
                </c:pt>
                <c:pt idx="25">
                  <c:v>0</c:v>
                </c:pt>
                <c:pt idx="26">
                  <c:v>0</c:v>
                </c:pt>
              </c:numCache>
            </c:numRef>
          </c:val>
        </c:ser>
        <c:overlap val="100"/>
        <c:gapWidth val="100"/>
        <c:axId val="15938892"/>
        <c:axId val="923230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0.4639501421475563</c:v>
                </c:pt>
                <c:pt idx="3">
                  <c:v>0.9527607794905796</c:v>
                </c:pt>
                <c:pt idx="4">
                  <c:v>0.5310479117556314</c:v>
                </c:pt>
                <c:pt idx="5">
                  <c:v>0.5089465393981862</c:v>
                </c:pt>
                <c:pt idx="6">
                  <c:v>0.2976704103052284</c:v>
                </c:pt>
                <c:pt idx="7">
                  <c:v>0.14280914121059884</c:v>
                </c:pt>
                <c:pt idx="8">
                  <c:v>0.49068789341447266</c:v>
                </c:pt>
                <c:pt idx="9">
                  <c:v>0.33722890018427193</c:v>
                </c:pt>
                <c:pt idx="10">
                  <c:v>0.3850676433411598</c:v>
                </c:pt>
                <c:pt idx="11">
                  <c:v>0.3985325641996837</c:v>
                </c:pt>
                <c:pt idx="12">
                  <c:v>0.6403112474378371</c:v>
                </c:pt>
                <c:pt idx="13">
                  <c:v>0.5</c:v>
                </c:pt>
                <c:pt idx="14">
                  <c:v>0.4817800395786971</c:v>
                </c:pt>
                <c:pt idx="15">
                  <c:v>0.6576803996892432</c:v>
                </c:pt>
                <c:pt idx="16">
                  <c:v>0.4765629452232606</c:v>
                </c:pt>
                <c:pt idx="17">
                  <c:v>0.6497527973500925</c:v>
                </c:pt>
                <c:pt idx="18">
                  <c:v>1.4767488548990568</c:v>
                </c:pt>
                <c:pt idx="19">
                  <c:v>0.5982182167976281</c:v>
                </c:pt>
                <c:pt idx="20">
                  <c:v>0.29872536349944917</c:v>
                </c:pt>
                <c:pt idx="21">
                  <c:v>0.4066014454661926</c:v>
                </c:pt>
                <c:pt idx="22">
                  <c:v>0.3994777519058989</c:v>
                </c:pt>
                <c:pt idx="23">
                  <c:v>0.8356301640176426</c:v>
                </c:pt>
                <c:pt idx="24">
                  <c:v>0.6656511644948104</c:v>
                </c:pt>
                <c:pt idx="25">
                  <c:v>0.5826836452950943</c:v>
                </c:pt>
                <c:pt idx="26">
                  <c:v>0.3889484026326804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0.5644038675253821</c:v>
                </c:pt>
                <c:pt idx="3">
                  <c:v>-999</c:v>
                </c:pt>
                <c:pt idx="4">
                  <c:v>-999</c:v>
                </c:pt>
                <c:pt idx="5">
                  <c:v>0.5028721869156609</c:v>
                </c:pt>
                <c:pt idx="6">
                  <c:v>-999</c:v>
                </c:pt>
                <c:pt idx="7">
                  <c:v>-999</c:v>
                </c:pt>
                <c:pt idx="8">
                  <c:v>-999</c:v>
                </c:pt>
                <c:pt idx="9">
                  <c:v>0.5</c:v>
                </c:pt>
                <c:pt idx="10">
                  <c:v>0.49999999999999994</c:v>
                </c:pt>
                <c:pt idx="11">
                  <c:v>-999</c:v>
                </c:pt>
                <c:pt idx="12">
                  <c:v>-999</c:v>
                </c:pt>
                <c:pt idx="13">
                  <c:v>-999</c:v>
                </c:pt>
                <c:pt idx="14">
                  <c:v>0.3038647704256658</c:v>
                </c:pt>
                <c:pt idx="15">
                  <c:v>0.4615252200819611</c:v>
                </c:pt>
                <c:pt idx="16">
                  <c:v>0.45186901009964775</c:v>
                </c:pt>
                <c:pt idx="17">
                  <c:v>-999</c:v>
                </c:pt>
                <c:pt idx="18">
                  <c:v>-999</c:v>
                </c:pt>
                <c:pt idx="19">
                  <c:v>-999</c:v>
                </c:pt>
                <c:pt idx="20">
                  <c:v>0.5091498256883106</c:v>
                </c:pt>
                <c:pt idx="21">
                  <c:v>-999</c:v>
                </c:pt>
                <c:pt idx="22">
                  <c:v>0.49999999967998177</c:v>
                </c:pt>
                <c:pt idx="23">
                  <c:v>0.7285770061223121</c:v>
                </c:pt>
                <c:pt idx="24">
                  <c:v>0.49406490420934523</c:v>
                </c:pt>
                <c:pt idx="25">
                  <c:v>0.32469154023012176</c:v>
                </c:pt>
                <c:pt idx="26">
                  <c:v>0.744093305561856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0.35000000000000003</c:v>
                </c:pt>
                <c:pt idx="4">
                  <c:v>0.9093013195602678</c:v>
                </c:pt>
                <c:pt idx="5">
                  <c:v>-999</c:v>
                </c:pt>
                <c:pt idx="6">
                  <c:v>0.892156862745098</c:v>
                </c:pt>
                <c:pt idx="7">
                  <c:v>0.7838927265339289</c:v>
                </c:pt>
                <c:pt idx="8">
                  <c:v>0.3755700000000001</c:v>
                </c:pt>
                <c:pt idx="9">
                  <c:v>-999</c:v>
                </c:pt>
                <c:pt idx="10">
                  <c:v>-999</c:v>
                </c:pt>
                <c:pt idx="11">
                  <c:v>0.6287701838123286</c:v>
                </c:pt>
                <c:pt idx="12">
                  <c:v>0.8330053296969993</c:v>
                </c:pt>
                <c:pt idx="13">
                  <c:v>0.5951063568179025</c:v>
                </c:pt>
                <c:pt idx="14">
                  <c:v>-999</c:v>
                </c:pt>
                <c:pt idx="15">
                  <c:v>-999</c:v>
                </c:pt>
                <c:pt idx="16">
                  <c:v>-999</c:v>
                </c:pt>
                <c:pt idx="17">
                  <c:v>0.8303648495121159</c:v>
                </c:pt>
                <c:pt idx="18">
                  <c:v>-999</c:v>
                </c:pt>
                <c:pt idx="19">
                  <c:v>1.0000000000416958</c:v>
                </c:pt>
                <c:pt idx="20">
                  <c:v>-999</c:v>
                </c:pt>
                <c:pt idx="21">
                  <c:v>1.0000000000129667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981846"/>
        <c:axId val="9618887"/>
      </c:scatterChart>
      <c:catAx>
        <c:axId val="15938892"/>
        <c:scaling>
          <c:orientation val="maxMin"/>
        </c:scaling>
        <c:axPos val="l"/>
        <c:delete val="0"/>
        <c:numFmt formatCode="General" sourceLinked="1"/>
        <c:majorTickMark val="out"/>
        <c:minorTickMark val="none"/>
        <c:tickLblPos val="none"/>
        <c:spPr>
          <a:ln w="3175">
            <a:noFill/>
          </a:ln>
        </c:spPr>
        <c:crossAx val="9232301"/>
        <c:crosses val="autoZero"/>
        <c:auto val="1"/>
        <c:lblOffset val="100"/>
        <c:tickLblSkip val="1"/>
        <c:noMultiLvlLbl val="0"/>
      </c:catAx>
      <c:valAx>
        <c:axId val="9232301"/>
        <c:scaling>
          <c:orientation val="minMax"/>
          <c:max val="1"/>
          <c:min val="0"/>
        </c:scaling>
        <c:axPos val="t"/>
        <c:delete val="0"/>
        <c:numFmt formatCode="General" sourceLinked="1"/>
        <c:majorTickMark val="none"/>
        <c:minorTickMark val="none"/>
        <c:tickLblPos val="none"/>
        <c:spPr>
          <a:ln w="3175">
            <a:noFill/>
          </a:ln>
        </c:spPr>
        <c:crossAx val="15938892"/>
        <c:crossesAt val="1"/>
        <c:crossBetween val="between"/>
        <c:dispUnits/>
        <c:majorUnit val="1"/>
      </c:valAx>
      <c:valAx>
        <c:axId val="15981846"/>
        <c:scaling>
          <c:orientation val="minMax"/>
          <c:max val="1"/>
          <c:min val="0"/>
        </c:scaling>
        <c:axPos val="t"/>
        <c:delete val="0"/>
        <c:numFmt formatCode="General" sourceLinked="1"/>
        <c:majorTickMark val="none"/>
        <c:minorTickMark val="none"/>
        <c:tickLblPos val="none"/>
        <c:spPr>
          <a:ln w="3175">
            <a:noFill/>
          </a:ln>
        </c:spPr>
        <c:crossAx val="9618887"/>
        <c:crosses val="max"/>
        <c:crossBetween val="midCat"/>
        <c:dispUnits/>
        <c:majorUnit val="0.1"/>
        <c:minorUnit val="0.02"/>
      </c:valAx>
      <c:valAx>
        <c:axId val="9618887"/>
        <c:scaling>
          <c:orientation val="maxMin"/>
          <c:max val="29"/>
          <c:min val="0"/>
        </c:scaling>
        <c:axPos val="l"/>
        <c:delete val="0"/>
        <c:numFmt formatCode="General" sourceLinked="1"/>
        <c:majorTickMark val="none"/>
        <c:minorTickMark val="none"/>
        <c:tickLblPos val="none"/>
        <c:spPr>
          <a:ln w="3175">
            <a:noFill/>
          </a:ln>
        </c:spPr>
        <c:crossAx val="1598184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(H81130) ALL SAINTS HOUSE, NHS SURREY HEALTH CCG (10C)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716</v>
      </c>
      <c r="Q3" s="65"/>
      <c r="R3" s="66"/>
      <c r="S3" s="66"/>
      <c r="T3" s="66"/>
      <c r="U3" s="66"/>
      <c r="V3" s="66"/>
      <c r="W3" s="66"/>
      <c r="X3" s="66"/>
      <c r="Y3" s="66"/>
      <c r="Z3" s="66"/>
      <c r="AA3" s="66"/>
      <c r="AB3" s="66"/>
      <c r="AC3" s="66"/>
    </row>
    <row r="4" spans="2:29" ht="18" customHeight="1">
      <c r="B4" s="317" t="s">
        <v>717</v>
      </c>
      <c r="C4" s="318"/>
      <c r="D4" s="318"/>
      <c r="E4" s="318"/>
      <c r="F4" s="318"/>
      <c r="G4" s="319"/>
      <c r="H4" s="111"/>
      <c r="I4" s="111"/>
      <c r="J4" s="111"/>
      <c r="K4" s="111"/>
      <c r="L4" s="112"/>
      <c r="M4" s="65"/>
      <c r="N4" s="65"/>
      <c r="O4" s="65"/>
      <c r="P4" s="133" t="s">
        <v>718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137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736</v>
      </c>
      <c r="C8" s="114"/>
      <c r="D8" s="114"/>
      <c r="E8" s="127">
        <f>VLOOKUP('Hide - Control'!A$3,'All practice data'!A:CA,4,FALSE)</f>
        <v>10358</v>
      </c>
      <c r="F8" s="332" t="str">
        <f>VLOOKUP('Hide - Control'!B4,'Hide - Calculation'!AY:BA,3,FALSE)</f>
        <v> </v>
      </c>
      <c r="G8" s="332"/>
      <c r="H8" s="332"/>
      <c r="I8" s="114"/>
      <c r="J8" s="114"/>
      <c r="K8" s="114"/>
      <c r="L8" s="114"/>
      <c r="M8" s="108"/>
      <c r="N8" s="308" t="s">
        <v>719</v>
      </c>
      <c r="O8" s="308"/>
      <c r="P8" s="308"/>
      <c r="Q8" s="308" t="s">
        <v>720</v>
      </c>
      <c r="R8" s="308"/>
      <c r="S8" s="308"/>
      <c r="T8" s="308" t="s">
        <v>721</v>
      </c>
      <c r="U8" s="308"/>
      <c r="V8" s="308" t="s">
        <v>722</v>
      </c>
      <c r="W8" s="308"/>
      <c r="X8" s="308"/>
      <c r="Y8" s="134"/>
      <c r="Z8" s="308" t="s">
        <v>723</v>
      </c>
      <c r="AA8" s="308"/>
      <c r="AB8" s="160"/>
      <c r="AC8" s="108"/>
    </row>
    <row r="9" spans="2:29" s="61" customFormat="1" ht="19.5" customHeight="1" thickBot="1">
      <c r="B9" s="113" t="s">
        <v>724</v>
      </c>
      <c r="C9" s="113"/>
      <c r="D9" s="113"/>
      <c r="E9" s="128">
        <f>VLOOKUP('Hide - Control'!B4,'Hide - Calculation'!AY:BB,4,FALSE)</f>
        <v>90403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725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116</v>
      </c>
      <c r="E11" s="315"/>
      <c r="F11" s="316"/>
      <c r="G11" s="260" t="s">
        <v>114</v>
      </c>
      <c r="H11" s="252" t="s">
        <v>115</v>
      </c>
      <c r="I11" s="252" t="s">
        <v>123</v>
      </c>
      <c r="J11" s="252" t="s">
        <v>124</v>
      </c>
      <c r="K11" s="297" t="s">
        <v>726</v>
      </c>
      <c r="L11" s="253" t="s">
        <v>113</v>
      </c>
      <c r="M11" s="254" t="s">
        <v>132</v>
      </c>
      <c r="N11" s="312" t="s">
        <v>131</v>
      </c>
      <c r="O11" s="312"/>
      <c r="P11" s="312"/>
      <c r="Q11" s="312"/>
      <c r="R11" s="312"/>
      <c r="S11" s="312"/>
      <c r="T11" s="312"/>
      <c r="U11" s="312"/>
      <c r="V11" s="312"/>
      <c r="W11" s="312"/>
      <c r="X11" s="312"/>
      <c r="Y11" s="312"/>
      <c r="Z11" s="312"/>
      <c r="AA11" s="255" t="s">
        <v>133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73</v>
      </c>
      <c r="C13" s="162">
        <v>1</v>
      </c>
      <c r="D13" s="334" t="s">
        <v>69</v>
      </c>
      <c r="E13" s="335"/>
      <c r="F13" s="335"/>
      <c r="G13" s="165">
        <f>IF(VLOOKUP('Hide - Control'!A$3,'All practice data'!A:CA,C13+4,FALSE)=" "," ",VLOOKUP('Hide - Control'!A$3,'All practice data'!A:CA,C13+4,FALSE))</f>
        <v>1802</v>
      </c>
      <c r="H13" s="189">
        <f>IF(VLOOKUP('Hide - Control'!A$3,'All practice data'!A:CA,C13+30,FALSE)=" "," ",VLOOKUP('Hide - Control'!A$3,'All practice data'!A:CA,C13+30,FALSE))</f>
        <v>0.173971809229581</v>
      </c>
      <c r="I13" s="190">
        <f>IF(LEFT(G13,1)=" "," n/a",+((2*G13+1.96^2-1.96*SQRT(1.96^2+4*G13*(1-G13/E$8)))/(2*(E$8+1.96^2))))</f>
        <v>0.166792495082578</v>
      </c>
      <c r="J13" s="190">
        <f>IF(LEFT(G13,1)=" "," n/a",+((2*G13+1.96^2+1.96*SQRT(1.96^2+4*G13*(1-G13/E$8)))/(2*(E$8+1.96^2))))</f>
        <v>0.18139286995909568</v>
      </c>
      <c r="K13" s="189">
        <f>IF('Hide - Calculation'!N7="","",'Hide - Calculation'!N7)</f>
        <v>0.1703593907281838</v>
      </c>
      <c r="L13" s="191">
        <f>'Hide - Calculation'!O7</f>
        <v>0.16403398204837302</v>
      </c>
      <c r="M13" s="301" t="str">
        <f>IF(ISBLANK('Hide - Calculation'!K7),"",FIXED(100*'Hide - Calculation'!U7,1)&amp;"%")</f>
        <v>11.8%</v>
      </c>
      <c r="N13" s="172"/>
      <c r="O13" s="172"/>
      <c r="P13" s="172"/>
      <c r="Q13" s="172"/>
      <c r="R13" s="172"/>
      <c r="S13" s="172"/>
      <c r="T13" s="172"/>
      <c r="U13" s="172"/>
      <c r="V13" s="172"/>
      <c r="W13" s="172"/>
      <c r="X13" s="172"/>
      <c r="Y13" s="172"/>
      <c r="Z13" s="172"/>
      <c r="AA13" s="302" t="str">
        <f>IF(ISBLANK('Hide - Calculation'!K7),"",FIXED(100*'Hide - Calculation'!T7,1)&amp;"%")</f>
        <v>20.0%</v>
      </c>
      <c r="AB13" s="230" t="s">
        <v>162</v>
      </c>
      <c r="AC13" s="207" t="s">
        <v>727</v>
      </c>
    </row>
    <row r="14" spans="2:29" ht="33.75" customHeight="1">
      <c r="B14" s="327"/>
      <c r="C14" s="136">
        <v>2</v>
      </c>
      <c r="D14" s="131" t="s">
        <v>138</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0.03</v>
      </c>
      <c r="I14" s="119">
        <f>IF(LEFT(G14,1)=" "," n/a",+((2*H14*E8+1.96^2-1.96*SQRT(1.96^2+4*H14*E8*(1-H14*E8/E$8)))/(2*(E$8+1.96^2))))</f>
        <v>0.026885019209502505</v>
      </c>
      <c r="J14" s="119">
        <f>IF(LEFT(G14,1)=" "," n/a",+((2*H14*E8+1.96^2+1.96*SQRT(1.96^2+4*H14*E8*(1-H14*E8/E$8)))/(2*(E$8+1.96^2))))</f>
        <v>0.03346348100304658</v>
      </c>
      <c r="K14" s="118">
        <f>IF('Hide - Calculation'!N8="","",'Hide - Calculation'!N8)</f>
        <v>0.06485780339148037</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16.0%</v>
      </c>
      <c r="AB14" s="231" t="s">
        <v>39</v>
      </c>
      <c r="AC14" s="129" t="s">
        <v>727</v>
      </c>
    </row>
    <row r="15" spans="2:39" s="63" customFormat="1" ht="33.75" customHeight="1">
      <c r="B15" s="327"/>
      <c r="C15" s="136">
        <v>3</v>
      </c>
      <c r="D15" s="131" t="s">
        <v>77</v>
      </c>
      <c r="E15" s="85"/>
      <c r="F15" s="85"/>
      <c r="G15" s="120">
        <f>IF(VLOOKUP('Hide - Control'!A$3,'All practice data'!A:CA,C15+4,FALSE)=" "," ",VLOOKUP('Hide - Control'!A$3,'All practice data'!A:CA,C15+4,FALSE))</f>
        <v>72</v>
      </c>
      <c r="H15" s="121">
        <f>IF(VLOOKUP('Hide - Control'!A$3,'All practice data'!A:CA,C15+30,FALSE)=" "," ",VLOOKUP('Hide - Control'!A$3,'All practice data'!A:CA,C15+30,FALSE))</f>
        <v>695.1148870438309</v>
      </c>
      <c r="I15" s="122">
        <f>IF(LEFT(G15,1)=" "," n/a",IF(G15&lt;5,100000*VLOOKUP(G15,'Hide - Calculation'!AQ:AR,2,FALSE)/$E$8,100000*(G15*(1-1/(9*G15)-1.96/(3*SQRT(G15)))^3)/$E$8))</f>
        <v>543.8599370098309</v>
      </c>
      <c r="J15" s="122">
        <f>IF(LEFT(G15,1)=" "," n/a",IF(G15&lt;5,100000*VLOOKUP(G15,'Hide - Calculation'!AQ:AS,3,FALSE)/$E$8,100000*((G15+1)*(1-1/(9*(G15+1))+1.96/(3*SQRT(G15+1)))^3)/$E$8))</f>
        <v>875.3978153785333</v>
      </c>
      <c r="K15" s="121">
        <f>IF('Hide - Calculation'!N9="","",'Hide - Calculation'!N9)</f>
        <v>490.02798579693155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695</v>
      </c>
      <c r="AB15" s="231" t="s">
        <v>117</v>
      </c>
      <c r="AC15" s="130">
        <v>2010</v>
      </c>
      <c r="AD15" s="64"/>
      <c r="AE15" s="64"/>
      <c r="AF15" s="64"/>
      <c r="AG15" s="64"/>
      <c r="AH15" s="64"/>
      <c r="AI15" s="64"/>
      <c r="AJ15" s="64"/>
      <c r="AK15" s="64"/>
      <c r="AL15" s="64"/>
      <c r="AM15" s="64"/>
    </row>
    <row r="16" spans="2:29" s="63" customFormat="1" ht="33.75" customHeight="1">
      <c r="B16" s="327"/>
      <c r="C16" s="136">
        <v>4</v>
      </c>
      <c r="D16" s="131" t="s">
        <v>134</v>
      </c>
      <c r="E16" s="85"/>
      <c r="F16" s="85"/>
      <c r="G16" s="120">
        <f>IF(VLOOKUP('Hide - Control'!A$3,'All practice data'!A:CA,C16+4,FALSE)=" "," ",VLOOKUP('Hide - Control'!A$3,'All practice data'!A:CA,C16+4,FALSE))</f>
        <v>24</v>
      </c>
      <c r="H16" s="121">
        <f>IF(VLOOKUP('Hide - Control'!A$3,'All practice data'!A:CA,C16+30,FALSE)=" "," ",VLOOKUP('Hide - Control'!A$3,'All practice data'!A:CA,C16+30,FALSE))</f>
        <v>231.70496234794362</v>
      </c>
      <c r="I16" s="122">
        <f>IF(LEFT(G16,1)=" "," n/a",IF(G16&lt;5,100000*VLOOKUP(G16,'Hide - Calculation'!AQ:AR,2,FALSE)/$E$8,100000*(G16*(1-1/(9*G16)-1.96/(3*SQRT(G16)))^3)/$E$8))</f>
        <v>148.41272248271474</v>
      </c>
      <c r="J16" s="122">
        <f>IF(LEFT(G16,1)=" "," n/a",IF(G16&lt;5,100000*VLOOKUP(G16,'Hide - Calculation'!AQ:AS,3,FALSE)/$E$8,100000*((G16+1)*(1-1/(9*(G16+1))+1.96/(3*SQRT(G16+1)))^3)/$E$8))</f>
        <v>344.7754859752016</v>
      </c>
      <c r="K16" s="121">
        <f>IF('Hide - Calculation'!N10="","",'Hide - Calculation'!N10)</f>
        <v>217.91312235213434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265</v>
      </c>
      <c r="AB16" s="231" t="s">
        <v>72</v>
      </c>
      <c r="AC16" s="130" t="s">
        <v>728</v>
      </c>
    </row>
    <row r="17" spans="2:29" s="63" customFormat="1" ht="33.75" customHeight="1" thickBot="1">
      <c r="B17" s="328"/>
      <c r="C17" s="179">
        <v>5</v>
      </c>
      <c r="D17" s="194" t="s">
        <v>76</v>
      </c>
      <c r="E17" s="181"/>
      <c r="F17" s="181"/>
      <c r="G17" s="139">
        <f>IF(VLOOKUP('Hide - Control'!A$3,'All practice data'!A:CA,C17+4,FALSE)=" "," ",VLOOKUP('Hide - Control'!A$3,'All practice data'!A:CA,C17+4,FALSE))</f>
        <v>247</v>
      </c>
      <c r="H17" s="140">
        <f>IF(VLOOKUP('Hide - Control'!A$3,'All practice data'!A:CA,C17+30,FALSE)=" "," ",VLOOKUP('Hide - Control'!A$3,'All practice data'!A:CA,C17+30,FALSE))</f>
        <v>0.023799999999999998</v>
      </c>
      <c r="I17" s="141">
        <f>IF(LEFT(G17,1)=" "," n/a",+((2*G17+1.96^2-1.96*SQRT(1.96^2+4*G17*(1-G17/E$8)))/(2*(E$8+1.96^2))))</f>
        <v>0.021079836161055018</v>
      </c>
      <c r="J17" s="141">
        <f>IF(LEFT(G17,1)=" "," n/a",+((2*G17+1.96^2+1.96*SQRT(1.96^2+4*G17*(1-G17/E$8)))/(2*(E$8+1.96^2))))</f>
        <v>0.026965831705552785</v>
      </c>
      <c r="K17" s="140">
        <f>IF('Hide - Calculation'!N11="","",'Hide - Calculation'!N11)</f>
        <v>0.01997721314558145</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2.5%</v>
      </c>
      <c r="AB17" s="232" t="s">
        <v>135</v>
      </c>
      <c r="AC17" s="188" t="s">
        <v>728</v>
      </c>
    </row>
    <row r="18" spans="2:29" s="63" customFormat="1" ht="33.75" customHeight="1">
      <c r="B18" s="326" t="s">
        <v>13</v>
      </c>
      <c r="C18" s="162">
        <v>6</v>
      </c>
      <c r="D18" s="163" t="s">
        <v>139</v>
      </c>
      <c r="E18" s="164"/>
      <c r="F18" s="164"/>
      <c r="G18" s="217">
        <f>IF(OR(VLOOKUP('Hide - Control'!A$3,'All practice data'!A:CA,C18+4,FALSE)=" ",VLOOKUP('Hide - Control'!A$3,'All practice data'!A:CA,C18+52,FALSE)=0)," n/a",VLOOKUP('Hide - Control'!A$3,'All practice data'!A:CA,C18+4,FALSE))</f>
        <v>1125</v>
      </c>
      <c r="H18" s="218">
        <f>IF(OR(VLOOKUP('Hide - Control'!A$3,'All practice data'!A:CA,C18+30,FALSE)=" ",VLOOKUP('Hide - Control'!A$3,'All practice data'!A:CA,C18+52,FALSE)=0)," n/a",VLOOKUP('Hide - Control'!A$3,'All practice data'!A:CA,C18+30,FALSE))</f>
        <v>0.803571</v>
      </c>
      <c r="I18" s="190">
        <f>IF(OR(LEFT(H18,1)=" ",VLOOKUP('Hide - Control'!A$3,'All practice data'!A:CA,C18+52,FALSE)=0)," n/a",+((2*G18+1.96^2-1.96*SQRT(1.96^2+4*G18*(1-G18/(VLOOKUP('Hide - Control'!A$3,'All practice data'!A:CA,C18+52,FALSE)))))/(2*(((VLOOKUP('Hide - Control'!A$3,'All practice data'!A:CA,C18+52,FALSE)))+1.96^2))))</f>
        <v>0.7819409519675159</v>
      </c>
      <c r="J18" s="190">
        <f>IF(OR(LEFT(H18,1)=" ",VLOOKUP('Hide - Control'!A$3,'All practice data'!A:CA,C18+52,FALSE)=0)," n/a",+((2*G18+1.96^2+1.96*SQRT(1.96^2+4*G18*(1-G18/(VLOOKUP('Hide - Control'!A$3,'All practice data'!A:CA,C18+52,FALSE)))))/(2*((VLOOKUP('Hide - Control'!A$3,'All practice data'!A:CA,C18+52,FALSE))+1.96^2))))</f>
        <v>0.8235404641694616</v>
      </c>
      <c r="K18" s="218">
        <f>IF('Hide - Calculation'!N12="","",'Hide - Calculation'!N12)</f>
        <v>0.764555624064124</v>
      </c>
      <c r="L18" s="191">
        <f>'Hide - Calculation'!O12</f>
        <v>0.7246856648259642</v>
      </c>
      <c r="M18" s="192" t="str">
        <f>IF(ISBLANK('Hide - Calculation'!K12),"",FIXED(100*'Hide - Calculation'!U12,1)&amp;"%")</f>
        <v>70.7%</v>
      </c>
      <c r="N18" s="193"/>
      <c r="O18" s="172"/>
      <c r="P18" s="172"/>
      <c r="Q18" s="172"/>
      <c r="R18" s="172"/>
      <c r="S18" s="172"/>
      <c r="T18" s="172"/>
      <c r="U18" s="172"/>
      <c r="V18" s="172"/>
      <c r="W18" s="172"/>
      <c r="X18" s="172"/>
      <c r="Y18" s="172"/>
      <c r="Z18" s="173"/>
      <c r="AA18" s="192" t="str">
        <f>IF(ISBLANK('Hide - Calculation'!K12),"",FIXED(100*'Hide - Calculation'!T12,1)&amp;"%")</f>
        <v>80.4%</v>
      </c>
      <c r="AB18" s="230" t="s">
        <v>48</v>
      </c>
      <c r="AC18" s="174" t="s">
        <v>729</v>
      </c>
    </row>
    <row r="19" spans="2:29" s="63" customFormat="1" ht="33.75" customHeight="1">
      <c r="B19" s="327"/>
      <c r="C19" s="136">
        <v>7</v>
      </c>
      <c r="D19" s="131" t="s">
        <v>140</v>
      </c>
      <c r="E19" s="85"/>
      <c r="F19" s="85"/>
      <c r="G19" s="219">
        <f>IF(OR(VLOOKUP('Hide - Control'!A$3,'All practice data'!A:CA,C19+4,FALSE)=" ",VLOOKUP('Hide - Control'!A$3,'All practice data'!A:CA,C19+52,FALSE)=0)," n/a",VLOOKUP('Hide - Control'!A$3,'All practice data'!A:CA,C19+4,FALSE))</f>
        <v>214</v>
      </c>
      <c r="H19" s="216">
        <f>IF(OR(VLOOKUP('Hide - Control'!A$3,'All practice data'!A:CA,C19+30,FALSE)=" ",VLOOKUP('Hide - Control'!A$3,'All practice data'!A:CA,C19+52,FALSE)=0)," n/a",VLOOKUP('Hide - Control'!A$3,'All practice data'!A:CA,C19+30,FALSE))</f>
        <v>0.650456</v>
      </c>
      <c r="I19" s="119">
        <f>IF(OR(LEFT(H19,1)=" ",VLOOKUP('Hide - Control'!A$3,'All practice data'!A:CA,C19+52,FALSE)=0)," n/a",+((2*G19+1.96^2-1.96*SQRT(1.96^2+4*G19*(1-G19/(VLOOKUP('Hide - Control'!A$3,'All practice data'!A:CA,C19+52,FALSE)))))/(2*(((VLOOKUP('Hide - Control'!A$3,'All practice data'!A:CA,C19+52,FALSE)))+1.96^2))))</f>
        <v>0.5974631715268112</v>
      </c>
      <c r="J19" s="119">
        <f>IF(OR(LEFT(H19,1)=" ",VLOOKUP('Hide - Control'!A$3,'All practice data'!A:CA,C19+52,FALSE)=0)," n/a",+((2*G19+1.96^2+1.96*SQRT(1.96^2+4*G19*(1-G19/(VLOOKUP('Hide - Control'!A$3,'All practice data'!A:CA,C19+52,FALSE)))))/(2*((VLOOKUP('Hide - Control'!A$3,'All practice data'!A:CA,C19+52,FALSE))+1.96^2))))</f>
        <v>0.699975610163939</v>
      </c>
      <c r="K19" s="216">
        <f>IF('Hide - Calculation'!N13="","",'Hide - Calculation'!N13)</f>
        <v>0.7542277339346111</v>
      </c>
      <c r="L19" s="154">
        <f>'Hide - Calculation'!O13</f>
        <v>0.7425503147315781</v>
      </c>
      <c r="M19" s="151" t="str">
        <f>IF(ISBLANK('Hide - Calculation'!K13),"",FIXED(100*'Hide - Calculation'!U13,1)&amp;"%")</f>
        <v>35.0%</v>
      </c>
      <c r="N19" s="159"/>
      <c r="O19" s="84"/>
      <c r="P19" s="84"/>
      <c r="Q19" s="84"/>
      <c r="R19" s="84"/>
      <c r="S19" s="84"/>
      <c r="T19" s="84"/>
      <c r="U19" s="84"/>
      <c r="V19" s="84"/>
      <c r="W19" s="84"/>
      <c r="X19" s="84"/>
      <c r="Y19" s="84"/>
      <c r="Z19" s="88"/>
      <c r="AA19" s="151" t="str">
        <f>IF(ISBLANK('Hide - Calculation'!K13),"",FIXED(100*'Hide - Calculation'!T13,1)&amp;"%")</f>
        <v>78.2%</v>
      </c>
      <c r="AB19" s="231" t="s">
        <v>48</v>
      </c>
      <c r="AC19" s="130" t="s">
        <v>728</v>
      </c>
    </row>
    <row r="20" spans="2:29" s="63" customFormat="1" ht="33.75" customHeight="1">
      <c r="B20" s="327"/>
      <c r="C20" s="136">
        <v>8</v>
      </c>
      <c r="D20" s="131" t="s">
        <v>141</v>
      </c>
      <c r="E20" s="85"/>
      <c r="F20" s="85"/>
      <c r="G20" s="219">
        <f>IF(OR(VLOOKUP('Hide - Control'!A$3,'All practice data'!A:CA,C20+4,FALSE)=" ",VLOOKUP('Hide - Control'!A$3,'All practice data'!A:CA,C20+52,FALSE)=0)," n/a",VLOOKUP('Hide - Control'!A$3,'All practice data'!A:CA,C20+4,FALSE))</f>
        <v>2064</v>
      </c>
      <c r="H20" s="216">
        <f>IF(OR(VLOOKUP('Hide - Control'!A$3,'All practice data'!A:CA,C20+30,FALSE)=" ",VLOOKUP('Hide - Control'!A$3,'All practice data'!A:CA,C20+52,FALSE)=0)," n/a",VLOOKUP('Hide - Control'!A$3,'All practice data'!A:CA,C20+30,FALSE))</f>
        <v>0.773613</v>
      </c>
      <c r="I20" s="119">
        <f>IF(OR(LEFT(H20,1)=" ",VLOOKUP('Hide - Control'!A$3,'All practice data'!A:CA,C20+52,FALSE)=0)," n/a",+((2*G20+1.96^2-1.96*SQRT(1.96^2+4*G20*(1-G20/(VLOOKUP('Hide - Control'!A$3,'All practice data'!A:CA,C20+52,FALSE)))))/(2*(((VLOOKUP('Hide - Control'!A$3,'All practice data'!A:CA,C20+52,FALSE)))+1.96^2))))</f>
        <v>0.7573463287115728</v>
      </c>
      <c r="J20" s="119">
        <f>IF(OR(LEFT(H20,1)=" ",VLOOKUP('Hide - Control'!A$3,'All practice data'!A:CA,C20+52,FALSE)=0)," n/a",+((2*G20+1.96^2+1.96*SQRT(1.96^2+4*G20*(1-G20/(VLOOKUP('Hide - Control'!A$3,'All practice data'!A:CA,C20+52,FALSE)))))/(2*((VLOOKUP('Hide - Control'!A$3,'All practice data'!A:CA,C20+52,FALSE))+1.96^2))))</f>
        <v>0.7890932506407359</v>
      </c>
      <c r="K20" s="216">
        <f>IF('Hide - Calculation'!N14="","",'Hide - Calculation'!N14)</f>
        <v>0.7688309400052858</v>
      </c>
      <c r="L20" s="154">
        <f>'Hide - Calculation'!O14</f>
        <v>0.7530641252748632</v>
      </c>
      <c r="M20" s="151" t="str">
        <f>IF(ISBLANK('Hide - Calculation'!K14),"",FIXED(100*'Hide - Calculation'!U14,1)&amp;"%")</f>
        <v>74.0%</v>
      </c>
      <c r="N20" s="159"/>
      <c r="O20" s="84"/>
      <c r="P20" s="84"/>
      <c r="Q20" s="84"/>
      <c r="R20" s="84"/>
      <c r="S20" s="84"/>
      <c r="T20" s="84"/>
      <c r="U20" s="84"/>
      <c r="V20" s="84"/>
      <c r="W20" s="84"/>
      <c r="X20" s="84"/>
      <c r="Y20" s="84"/>
      <c r="Z20" s="88"/>
      <c r="AA20" s="151" t="str">
        <f>IF(ISBLANK('Hide - Calculation'!K14),"",FIXED(100*'Hide - Calculation'!T14,1)&amp;"%")</f>
        <v>83.7%</v>
      </c>
      <c r="AB20" s="231" t="s">
        <v>48</v>
      </c>
      <c r="AC20" s="130" t="s">
        <v>730</v>
      </c>
    </row>
    <row r="21" spans="2:29" s="63" customFormat="1" ht="33.75" customHeight="1">
      <c r="B21" s="327"/>
      <c r="C21" s="136">
        <v>9</v>
      </c>
      <c r="D21" s="131" t="s">
        <v>142</v>
      </c>
      <c r="E21" s="85"/>
      <c r="F21" s="85"/>
      <c r="G21" s="219">
        <f>IF(OR(VLOOKUP('Hide - Control'!A$3,'All practice data'!A:CA,C21+4,FALSE)=" ",VLOOKUP('Hide - Control'!A$3,'All practice data'!A:CA,C21+52,FALSE)=0)," n/a",VLOOKUP('Hide - Control'!A$3,'All practice data'!A:CA,C21+4,FALSE))</f>
        <v>752</v>
      </c>
      <c r="H21" s="216">
        <f>IF(OR(VLOOKUP('Hide - Control'!A$3,'All practice data'!A:CA,C21+30,FALSE)=" ",VLOOKUP('Hide - Control'!A$3,'All practice data'!A:CA,C21+52,FALSE)=0)," n/a",VLOOKUP('Hide - Control'!A$3,'All practice data'!A:CA,C21+30,FALSE))</f>
        <v>0.612877</v>
      </c>
      <c r="I21" s="119">
        <f>IF(OR(LEFT(H21,1)=" ",VLOOKUP('Hide - Control'!A$3,'All practice data'!A:CA,C21+52,FALSE)=0)," n/a",+((2*G21+1.96^2-1.96*SQRT(1.96^2+4*G21*(1-G21/(VLOOKUP('Hide - Control'!A$3,'All practice data'!A:CA,C21+52,FALSE)))))/(2*(((VLOOKUP('Hide - Control'!A$3,'All practice data'!A:CA,C21+52,FALSE)))+1.96^2))))</f>
        <v>0.5853099966999914</v>
      </c>
      <c r="J21" s="119">
        <f>IF(OR(LEFT(H21,1)=" ",VLOOKUP('Hide - Control'!A$3,'All practice data'!A:CA,C21+52,FALSE)=0)," n/a",+((2*G21+1.96^2+1.96*SQRT(1.96^2+4*G21*(1-G21/(VLOOKUP('Hide - Control'!A$3,'All practice data'!A:CA,C21+52,FALSE)))))/(2*((VLOOKUP('Hide - Control'!A$3,'All practice data'!A:CA,C21+52,FALSE))+1.96^2))))</f>
        <v>0.639739270403103</v>
      </c>
      <c r="K21" s="216">
        <f>IF('Hide - Calculation'!N15="","",'Hide - Calculation'!N15)</f>
        <v>0.6036585365853658</v>
      </c>
      <c r="L21" s="154">
        <f>'Hide - Calculation'!O15</f>
        <v>0.5744521249276766</v>
      </c>
      <c r="M21" s="151" t="str">
        <f>IF(ISBLANK('Hide - Calculation'!K15),"",FIXED(100*'Hide - Calculation'!U15,1)&amp;"%")</f>
        <v>44.6%</v>
      </c>
      <c r="N21" s="159"/>
      <c r="O21" s="84"/>
      <c r="P21" s="84"/>
      <c r="Q21" s="84"/>
      <c r="R21" s="84"/>
      <c r="S21" s="84"/>
      <c r="T21" s="84"/>
      <c r="U21" s="84"/>
      <c r="V21" s="84"/>
      <c r="W21" s="84"/>
      <c r="X21" s="84"/>
      <c r="Y21" s="84"/>
      <c r="Z21" s="88"/>
      <c r="AA21" s="151" t="str">
        <f>IF(ISBLANK('Hide - Calculation'!K15),"",FIXED(100*'Hide - Calculation'!T15,1)&amp;"%")</f>
        <v>62.6%</v>
      </c>
      <c r="AB21" s="231" t="s">
        <v>48</v>
      </c>
      <c r="AC21" s="130" t="s">
        <v>731</v>
      </c>
    </row>
    <row r="22" spans="2:29" s="63" customFormat="1" ht="33.75" customHeight="1" thickBot="1">
      <c r="B22" s="328"/>
      <c r="C22" s="179">
        <v>10</v>
      </c>
      <c r="D22" s="194" t="s">
        <v>143</v>
      </c>
      <c r="E22" s="181"/>
      <c r="F22" s="181"/>
      <c r="G22" s="220">
        <f>IF(OR(VLOOKUP('Hide - Control'!A$3,'All practice data'!A:CA,C22+4,FALSE)=" ",VLOOKUP('Hide - Control'!A$3,'All practice data'!A:CA,C22+52,FALSE)=0)," n/a",VLOOKUP('Hide - Control'!A$3,'All practice data'!A:CA,C22+4,FALSE))</f>
        <v>415</v>
      </c>
      <c r="H22" s="221">
        <f>IF(OR(VLOOKUP('Hide - Control'!A$3,'All practice data'!A:CA,C22+30,FALSE)=" ",VLOOKUP('Hide - Control'!A$3,'All practice data'!A:CA,C22+52,FALSE)=0)," n/a",VLOOKUP('Hide - Control'!A$3,'All practice data'!A:CA,C22+30,FALSE))</f>
        <v>0.633588</v>
      </c>
      <c r="I22" s="195">
        <f>IF(OR(LEFT(H22,1)=" ",VLOOKUP('Hide - Control'!A$3,'All practice data'!A:CA,C22+52,FALSE)=0)," n/a",+((2*G22+1.96^2-1.96*SQRT(1.96^2+4*G22*(1-G22/(VLOOKUP('Hide - Control'!A$3,'All practice data'!A:CA,C22+52,FALSE)))))/(2*(((VLOOKUP('Hide - Control'!A$3,'All practice data'!A:CA,C22+52,FALSE)))+1.96^2))))</f>
        <v>0.5960085672370362</v>
      </c>
      <c r="J22" s="195">
        <f>IF(OR(LEFT(H22,1)=" ",VLOOKUP('Hide - Control'!A$3,'All practice data'!A:CA,C22+52,FALSE)=0)," n/a",+((2*G22+1.96^2+1.96*SQRT(1.96^2+4*G22*(1-G22/(VLOOKUP('Hide - Control'!A$3,'All practice data'!A:CA,C22+52,FALSE)))))/(2*((VLOOKUP('Hide - Control'!A$3,'All practice data'!A:CA,C22+52,FALSE))+1.96^2))))</f>
        <v>0.6696091472485094</v>
      </c>
      <c r="K22" s="221">
        <f>IF('Hide - Calculation'!N16="","",'Hide - Calculation'!N16)</f>
        <v>0.5885014137606032</v>
      </c>
      <c r="L22" s="196">
        <f>'Hide - Calculation'!O16</f>
        <v>0.5565049054289257</v>
      </c>
      <c r="M22" s="197" t="str">
        <f>IF(ISBLANK('Hide - Calculation'!K16),"",FIXED(100*'Hide - Calculation'!U16,1)&amp;"%")</f>
        <v>42.3%</v>
      </c>
      <c r="N22" s="198"/>
      <c r="O22" s="91"/>
      <c r="P22" s="91"/>
      <c r="Q22" s="91"/>
      <c r="R22" s="91"/>
      <c r="S22" s="91"/>
      <c r="T22" s="91"/>
      <c r="U22" s="91"/>
      <c r="V22" s="91"/>
      <c r="W22" s="91"/>
      <c r="X22" s="91"/>
      <c r="Y22" s="91"/>
      <c r="Z22" s="187"/>
      <c r="AA22" s="197" t="str">
        <f>IF(ISBLANK('Hide - Calculation'!K16),"",FIXED(100*'Hide - Calculation'!T16,1)&amp;"%")</f>
        <v>63.4%</v>
      </c>
      <c r="AB22" s="232" t="s">
        <v>48</v>
      </c>
      <c r="AC22" s="188" t="s">
        <v>728</v>
      </c>
    </row>
    <row r="23" spans="2:29" s="63" customFormat="1" ht="33.75" customHeight="1">
      <c r="B23" s="326" t="s">
        <v>67</v>
      </c>
      <c r="C23" s="162">
        <v>11</v>
      </c>
      <c r="D23" s="178" t="s">
        <v>78</v>
      </c>
      <c r="E23" s="164"/>
      <c r="F23" s="164"/>
      <c r="G23" s="117">
        <f>IF(VLOOKUP('Hide - Control'!A$3,'All practice data'!A:CA,C23+4,FALSE)=" "," ",VLOOKUP('Hide - Control'!A$3,'All practice data'!A:CA,C23+4,FALSE))</f>
        <v>257</v>
      </c>
      <c r="H23" s="214">
        <f>IF(VLOOKUP('Hide - Control'!A$3,'All practice data'!A:CA,C23+30,FALSE)=" "," ",VLOOKUP('Hide - Control'!A$3,'All practice data'!A:CA,C23+30,FALSE))</f>
        <v>2481.1739718092294</v>
      </c>
      <c r="I23" s="213">
        <f>IF(LEFT(G23,1)=" "," n/a",IF(G23&lt;5,100000*VLOOKUP(G23,'Hide - Calculation'!AQ:AR,2,FALSE)/$E$8,100000*(G23*(1-1/(9*G23)-1.96/(3*SQRT(G23)))^3)/$E$8))</f>
        <v>2187.057037677929</v>
      </c>
      <c r="J23" s="213">
        <f>IF(LEFT(G23,1)=" "," n/a",IF(G23&lt;5,100000*VLOOKUP(G23,'Hide - Calculation'!AQ:AS,3,FALSE)/$E$8,100000*((G23+1)*(1-1/(9*(G23+1))+1.96/(3*SQRT(G23+1)))^3)/$E$8))</f>
        <v>2803.8164206984284</v>
      </c>
      <c r="K23" s="214">
        <f>IF('Hide - Calculation'!N17="","",'Hide - Calculation'!N17)</f>
        <v>1603.9290731502274</v>
      </c>
      <c r="L23" s="215">
        <f>'Hide - Calculation'!O17</f>
        <v>1981.9429445600304</v>
      </c>
      <c r="M23" s="169" t="str">
        <f>IF(ISBLANK('Hide - Calculation'!K17),"",FIXED('Hide - Calculation'!U17,0))</f>
        <v>323</v>
      </c>
      <c r="N23" s="170"/>
      <c r="O23" s="171"/>
      <c r="P23" s="171"/>
      <c r="Q23" s="171"/>
      <c r="R23" s="172"/>
      <c r="S23" s="172"/>
      <c r="T23" s="172"/>
      <c r="U23" s="172"/>
      <c r="V23" s="172"/>
      <c r="W23" s="172"/>
      <c r="X23" s="172"/>
      <c r="Y23" s="172"/>
      <c r="Z23" s="173"/>
      <c r="AA23" s="169" t="str">
        <f>IF(ISBLANK('Hide - Calculation'!K17),"",FIXED('Hide - Calculation'!T17,0))</f>
        <v>2,481</v>
      </c>
      <c r="AB23" s="230" t="s">
        <v>26</v>
      </c>
      <c r="AC23" s="174" t="s">
        <v>728</v>
      </c>
    </row>
    <row r="24" spans="2:29" s="63" customFormat="1" ht="33.75" customHeight="1">
      <c r="B24" s="327"/>
      <c r="C24" s="136">
        <v>12</v>
      </c>
      <c r="D24" s="146" t="s">
        <v>148</v>
      </c>
      <c r="E24" s="85"/>
      <c r="F24" s="85"/>
      <c r="G24" s="117">
        <f>IF(VLOOKUP('Hide - Control'!A$3,'All practice data'!A:CA,C24+4,FALSE)=" "," ",VLOOKUP('Hide - Control'!A$3,'All practice data'!A:CA,C24+4,FALSE))</f>
        <v>257</v>
      </c>
      <c r="H24" s="118">
        <f>IF(VLOOKUP('Hide - Control'!A$3,'All practice data'!A:CA,C24+30,FALSE)=" "," ",VLOOKUP('Hide - Control'!A$3,'All practice data'!A:CA,C24+30,FALSE))</f>
        <v>1.1547</v>
      </c>
      <c r="I24" s="210">
        <f>IF(LEFT(VLOOKUP('Hide - Control'!A$3,'All practice data'!A:CA,C24+44,FALSE),1)=" "," n/a",VLOOKUP('Hide - Control'!A$3,'All practice data'!A:CA,C24+44,FALSE))</f>
        <v>1.0178</v>
      </c>
      <c r="J24" s="210">
        <f>IF(LEFT(VLOOKUP('Hide - Control'!A$3,'All practice data'!A:CA,C24+45,FALSE),1)=" "," n/a",VLOOKUP('Hide - Control'!A$3,'All practice data'!A:CA,C24+45,FALSE))</f>
        <v>1.3048</v>
      </c>
      <c r="K24" s="151" t="s">
        <v>163</v>
      </c>
      <c r="L24" s="211">
        <v>1</v>
      </c>
      <c r="M24" s="151" t="str">
        <f>IF(ISBLANK('Hide - Calculation'!K18),"",FIXED(100*'Hide - Calculation'!U18,1)&amp;"%")</f>
        <v>18.7%</v>
      </c>
      <c r="N24" s="86"/>
      <c r="O24" s="87"/>
      <c r="P24" s="87"/>
      <c r="Q24" s="87"/>
      <c r="R24" s="84"/>
      <c r="S24" s="84"/>
      <c r="T24" s="84"/>
      <c r="U24" s="84"/>
      <c r="V24" s="84"/>
      <c r="W24" s="84"/>
      <c r="X24" s="84"/>
      <c r="Y24" s="84"/>
      <c r="Z24" s="88"/>
      <c r="AA24" s="151" t="str">
        <f>IF(ISBLANK('Hide - Calculation'!K18),"",FIXED(100*'Hide - Calculation'!T18,1)&amp;"%")</f>
        <v>115.5%</v>
      </c>
      <c r="AB24" s="231" t="s">
        <v>26</v>
      </c>
      <c r="AC24" s="130" t="s">
        <v>728</v>
      </c>
    </row>
    <row r="25" spans="2:29" s="63" customFormat="1" ht="33.75" customHeight="1">
      <c r="B25" s="327"/>
      <c r="C25" s="136">
        <v>13</v>
      </c>
      <c r="D25" s="146" t="s">
        <v>74</v>
      </c>
      <c r="E25" s="85"/>
      <c r="F25" s="85"/>
      <c r="G25" s="117">
        <f>IF(VLOOKUP('Hide - Control'!A$3,'All practice data'!A:CA,C25+4,FALSE)=" "," ",VLOOKUP('Hide - Control'!A$3,'All practice data'!A:CA,C25+4,FALSE))</f>
        <v>20</v>
      </c>
      <c r="H25" s="118">
        <f>IF(VLOOKUP('Hide - Control'!A$3,'All practice data'!A:CA,C25+30,FALSE)=" "," ",VLOOKUP('Hide - Control'!A$3,'All practice data'!A:CA,C25+30,FALSE))</f>
        <v>0.07782101167315175</v>
      </c>
      <c r="I25" s="119">
        <f>IF(LEFT(G25,1)=" "," n/a",IF(G25=0," n/a",+((2*G25+1.96^2-1.96*SQRT(1.96^2+4*G25*(1-G25/G23)))/(2*(G23+1.96^2)))))</f>
        <v>0.050938999236686815</v>
      </c>
      <c r="J25" s="119">
        <f>IF(LEFT(G25,1)=" "," n/a",IF(G25=0," n/a",+((2*G25+1.96^2+1.96*SQRT(1.96^2+4*G25*(1-G25/G23)))/(2*(G23+1.96^2)))))</f>
        <v>0.11713848533632609</v>
      </c>
      <c r="K25" s="124">
        <f>IF('Hide - Calculation'!N19="","",'Hide - Calculation'!N19)</f>
        <v>0.11724137931034483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17.3%</v>
      </c>
      <c r="AB25" s="231" t="s">
        <v>26</v>
      </c>
      <c r="AC25" s="130" t="s">
        <v>728</v>
      </c>
    </row>
    <row r="26" spans="2:29" s="63" customFormat="1" ht="33.75" customHeight="1">
      <c r="B26" s="327"/>
      <c r="C26" s="136">
        <v>14</v>
      </c>
      <c r="D26" s="146" t="s">
        <v>136</v>
      </c>
      <c r="E26" s="85"/>
      <c r="F26" s="85"/>
      <c r="G26" s="120">
        <f>IF(VLOOKUP('Hide - Control'!A$3,'All practice data'!A:CA,C26+4,FALSE)=" "," ",VLOOKUP('Hide - Control'!A$3,'All practice data'!A:CA,C26+4,FALSE))</f>
        <v>54</v>
      </c>
      <c r="H26" s="118">
        <f>IF(VLOOKUP('Hide - Control'!A$3,'All practice data'!A:CA,C26+30,FALSE)=" "," ",VLOOKUP('Hide - Control'!A$3,'All practice data'!A:CA,C26+30,FALSE))</f>
        <v>0.37037037037037035</v>
      </c>
      <c r="I26" s="119">
        <f>IF(OR(LEFT(G26,1)=" ",LEFT(G25,1)=" ")," n/a",IF(G26=0," n/a",+((2*G25+1.96^2-1.96*SQRT(1.96^2+4*G25*(1-G25/G26)))/(2*(G26+1.96^2)))))</f>
        <v>0.2542318970762551</v>
      </c>
      <c r="J26" s="119">
        <f>IF(OR(LEFT(G26,1)=" ",LEFT(G25,1)=" ")," n/a",IF(G26=0," n/a",+((2*G25+1.96^2+1.96*SQRT(1.96^2+4*G25*(1-G25/G26)))/(2*(G26+1.96^2)))))</f>
        <v>0.5037277720891898</v>
      </c>
      <c r="K26" s="124">
        <f>IF('Hide - Calculation'!N20="","",'Hide - Calculation'!N20)</f>
        <v>0.39260969976905313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48.6%</v>
      </c>
      <c r="AB26" s="231" t="s">
        <v>26</v>
      </c>
      <c r="AC26" s="130" t="s">
        <v>728</v>
      </c>
    </row>
    <row r="27" spans="2:29" s="63" customFormat="1" ht="33.75" customHeight="1">
      <c r="B27" s="327"/>
      <c r="C27" s="136">
        <v>15</v>
      </c>
      <c r="D27" s="146" t="s">
        <v>125</v>
      </c>
      <c r="E27" s="85"/>
      <c r="F27" s="85"/>
      <c r="G27" s="120">
        <f>IF(VLOOKUP('Hide - Control'!A$3,'All practice data'!A:CA,C27+4,FALSE)=" "," ",VLOOKUP('Hide - Control'!A$3,'All practice data'!A:CA,C27+4,FALSE))</f>
        <v>37</v>
      </c>
      <c r="H27" s="121">
        <f>IF(VLOOKUP('Hide - Control'!A$3,'All practice data'!A:CA,C27+30,FALSE)=" "," ",VLOOKUP('Hide - Control'!A$3,'All practice data'!A:CA,C27+30,FALSE))</f>
        <v>357.21181695307973</v>
      </c>
      <c r="I27" s="122">
        <f>IF(LEFT(G27,1)=" "," n/a",IF(G27&lt;5,100000*VLOOKUP(G27,'Hide - Calculation'!AQ:AR,2,FALSE)/$E$8,100000*(G27*(1-1/(9*G27)-1.96/(3*SQRT(G27)))^3)/$E$8))</f>
        <v>251.47510277936243</v>
      </c>
      <c r="J27" s="122">
        <f>IF(LEFT(G27,1)=" "," n/a",IF(G27&lt;5,100000*VLOOKUP(G27,'Hide - Calculation'!AQ:AS,3,FALSE)/$E$8,100000*((G27+1)*(1-1/(9*(G27+1))+1.96/(3*SQRT(G27+1)))^3)/$E$8))</f>
        <v>492.38623988212987</v>
      </c>
      <c r="K27" s="121">
        <f>IF('Hide - Calculation'!N21="","",'Hide - Calculation'!N21)</f>
        <v>410.3846111301616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624</v>
      </c>
      <c r="AB27" s="231" t="s">
        <v>26</v>
      </c>
      <c r="AC27" s="130" t="s">
        <v>728</v>
      </c>
    </row>
    <row r="28" spans="2:29" s="63" customFormat="1" ht="33.75" customHeight="1">
      <c r="B28" s="327"/>
      <c r="C28" s="136">
        <v>16</v>
      </c>
      <c r="D28" s="146" t="s">
        <v>126</v>
      </c>
      <c r="E28" s="85"/>
      <c r="F28" s="85"/>
      <c r="G28" s="120">
        <f>IF(VLOOKUP('Hide - Control'!A$3,'All practice data'!A:CA,C28+4,FALSE)=" "," ",VLOOKUP('Hide - Control'!A$3,'All practice data'!A:CA,C28+4,FALSE))</f>
        <v>43</v>
      </c>
      <c r="H28" s="121">
        <f>IF(VLOOKUP('Hide - Control'!A$3,'All practice data'!A:CA,C28+30,FALSE)=" "," ",VLOOKUP('Hide - Control'!A$3,'All practice data'!A:CA,C28+30,FALSE))</f>
        <v>415.13805754006563</v>
      </c>
      <c r="I28" s="122">
        <f>IF(LEFT(G28,1)=" "," n/a",IF(G28&lt;5,100000*VLOOKUP(G28,'Hide - Calculation'!AQ:AR,2,FALSE)/$E$8,100000*(G28*(1-1/(9*G28)-1.96/(3*SQRT(G28)))^3)/$E$8))</f>
        <v>300.40529496666113</v>
      </c>
      <c r="J28" s="122">
        <f>IF(LEFT(G28,1)=" "," n/a",IF(G28&lt;5,100000*VLOOKUP(G28,'Hide - Calculation'!AQ:AS,3,FALSE)/$E$8,100000*((G28+1)*(1-1/(9*(G28+1))+1.96/(3*SQRT(G28+1)))^3)/$E$8))</f>
        <v>559.2048511121249</v>
      </c>
      <c r="K28" s="121">
        <f>IF('Hide - Calculation'!N22="","",'Hide - Calculation'!N22)</f>
        <v>271.00870546331424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415</v>
      </c>
      <c r="AB28" s="231" t="s">
        <v>26</v>
      </c>
      <c r="AC28" s="130" t="s">
        <v>728</v>
      </c>
    </row>
    <row r="29" spans="2:29" s="63" customFormat="1" ht="33.75" customHeight="1">
      <c r="B29" s="327"/>
      <c r="C29" s="136">
        <v>17</v>
      </c>
      <c r="D29" s="146" t="s">
        <v>127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22.123159629658307</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48</v>
      </c>
      <c r="AB29" s="231" t="s">
        <v>26</v>
      </c>
      <c r="AC29" s="130" t="s">
        <v>728</v>
      </c>
    </row>
    <row r="30" spans="2:29" s="63" customFormat="1" ht="33.75" customHeight="1" thickBot="1">
      <c r="B30" s="328"/>
      <c r="C30" s="179">
        <v>18</v>
      </c>
      <c r="D30" s="180" t="s">
        <v>128</v>
      </c>
      <c r="E30" s="181"/>
      <c r="F30" s="181"/>
      <c r="G30" s="182">
        <f>IF(VLOOKUP('Hide - Control'!A$3,'All practice data'!A:CA,C30+4,FALSE)=" "," ",VLOOKUP('Hide - Control'!A$3,'All practice data'!A:CA,C30+4,FALSE))</f>
        <v>85</v>
      </c>
      <c r="H30" s="183">
        <f>IF(VLOOKUP('Hide - Control'!A$3,'All practice data'!A:CA,C30+30,FALSE)=" "," ",VLOOKUP('Hide - Control'!A$3,'All practice data'!A:CA,C30+30,FALSE))</f>
        <v>820.621741648967</v>
      </c>
      <c r="I30" s="184">
        <f>IF(LEFT(G30,1)=" "," n/a",IF(G30&lt;5,100000*VLOOKUP(G30,'Hide - Calculation'!AQ:AR,2,FALSE)/$E$8,100000*(G30*(1-1/(9*G30)-1.96/(3*SQRT(G30)))^3)/$E$8))</f>
        <v>655.4606910236569</v>
      </c>
      <c r="J30" s="184">
        <f>IF(LEFT(G30,1)=" "," n/a",IF(G30&lt;5,100000*VLOOKUP(G30,'Hide - Calculation'!AQ:AS,3,FALSE)/$E$8,100000*((G30+1)*(1-1/(9*(G30+1))+1.96/(3*SQRT(G30+1)))^3)/$E$8))</f>
        <v>1014.7268099958915</v>
      </c>
      <c r="K30" s="183">
        <f>IF('Hide - Calculation'!N24="","",'Hide - Calculation'!N24)</f>
        <v>318.5734986670796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821</v>
      </c>
      <c r="AB30" s="232" t="s">
        <v>26</v>
      </c>
      <c r="AC30" s="188" t="s">
        <v>728</v>
      </c>
    </row>
    <row r="31" spans="2:29" s="63" customFormat="1" ht="33.75" customHeight="1">
      <c r="B31" s="329" t="s">
        <v>75</v>
      </c>
      <c r="C31" s="162">
        <v>19</v>
      </c>
      <c r="D31" s="163" t="s">
        <v>79</v>
      </c>
      <c r="E31" s="164"/>
      <c r="F31" s="164"/>
      <c r="G31" s="165">
        <f>IF(VLOOKUP('Hide - Control'!A$3,'All practice data'!A:CA,C31+4,FALSE)=" "," ",VLOOKUP('Hide - Control'!A$3,'All practice data'!A:CA,C31+4,FALSE))</f>
        <v>73</v>
      </c>
      <c r="H31" s="166">
        <f>IF(VLOOKUP('Hide - Control'!A$3,'All practice data'!A:CA,C31+30,FALSE)=" "," ",VLOOKUP('Hide - Control'!A$3,'All practice data'!A:CA,C31+30,FALSE))</f>
        <v>704.7692604749951</v>
      </c>
      <c r="I31" s="167">
        <f>IF(LEFT(G31,1)=" "," n/a",IF(G31&lt;5,100000*VLOOKUP(G31,'Hide - Calculation'!AQ:AR,2,FALSE)/$E$8,100000*(G31*(1-1/(9*G31)-1.96/(3*SQRT(G31)))^3)/$E$8))</f>
        <v>552.4021081177168</v>
      </c>
      <c r="J31" s="167">
        <f>IF(LEFT(G31,1)=" "," n/a",IF(G31&lt;5,100000*VLOOKUP(G31,'Hide - Calculation'!AQ:AS,3,FALSE)/$E$8,100000*((G31+1)*(1-1/(9*(G31+1))+1.96/(3*SQRT(G31+1)))^3)/$E$8))</f>
        <v>886.1571629186561</v>
      </c>
      <c r="K31" s="166">
        <f>IF('Hide - Calculation'!N25="","",'Hide - Calculation'!N25)</f>
        <v>696.8795283342367</v>
      </c>
      <c r="L31" s="168">
        <f>'Hide - Calculation'!O25</f>
        <v>623.2878522577265</v>
      </c>
      <c r="M31" s="169" t="str">
        <f>IF(ISBLANK('Hide - Calculation'!K25),"",FIXED('Hide - Calculation'!U25,0))</f>
        <v>508</v>
      </c>
      <c r="N31" s="170"/>
      <c r="O31" s="171"/>
      <c r="P31" s="171"/>
      <c r="Q31" s="171"/>
      <c r="R31" s="172"/>
      <c r="S31" s="172"/>
      <c r="T31" s="172"/>
      <c r="U31" s="172"/>
      <c r="V31" s="172"/>
      <c r="W31" s="172"/>
      <c r="X31" s="172"/>
      <c r="Y31" s="172"/>
      <c r="Z31" s="173"/>
      <c r="AA31" s="169" t="str">
        <f>IF(ISBLANK('Hide - Calculation'!K25),"",FIXED('Hide - Calculation'!T25,0))</f>
        <v>815</v>
      </c>
      <c r="AB31" s="230" t="s">
        <v>47</v>
      </c>
      <c r="AC31" s="174" t="s">
        <v>728</v>
      </c>
    </row>
    <row r="32" spans="2:29" s="63" customFormat="1" ht="33.75" customHeight="1">
      <c r="B32" s="330"/>
      <c r="C32" s="136">
        <v>20</v>
      </c>
      <c r="D32" s="131" t="s">
        <v>80</v>
      </c>
      <c r="E32" s="85"/>
      <c r="F32" s="85"/>
      <c r="G32" s="120">
        <f>IF(VLOOKUP('Hide - Control'!A$3,'All practice data'!A:CA,C32+4,FALSE)=" "," ",VLOOKUP('Hide - Control'!A$3,'All practice data'!A:CA,C32+4,FALSE))</f>
        <v>74</v>
      </c>
      <c r="H32" s="121">
        <f>IF(VLOOKUP('Hide - Control'!A$3,'All practice data'!A:CA,C32+30,FALSE)=" "," ",VLOOKUP('Hide - Control'!A$3,'All practice data'!A:CA,C32+30,FALSE))</f>
        <v>714.4236339061595</v>
      </c>
      <c r="I32" s="122">
        <f>IF(LEFT(G32,1)=" "," n/a",IF(G32&lt;5,100000*VLOOKUP(G32,'Hide - Calculation'!AQ:AR,2,FALSE)/$E$8,100000*(G32*(1-1/(9*G32)-1.96/(3*SQRT(G32)))^3)/$E$8))</f>
        <v>560.9518837559341</v>
      </c>
      <c r="J32" s="122">
        <f>IF(LEFT(G32,1)=" "," n/a",IF(G32&lt;5,100000*VLOOKUP(G32,'Hide - Calculation'!AQ:AS,3,FALSE)/$E$8,100000*((G32+1)*(1-1/(9*(G32+1))+1.96/(3*SQRT(G32+1)))^3)/$E$8))</f>
        <v>896.9090497468379</v>
      </c>
      <c r="K32" s="121">
        <f>IF('Hide - Calculation'!N26="","",'Hide - Calculation'!N26)</f>
        <v>507.72651350065814</v>
      </c>
      <c r="L32" s="155">
        <f>'Hide - Calculation'!O26</f>
        <v>432.5467854266958</v>
      </c>
      <c r="M32" s="147" t="str">
        <f>IF(ISBLANK('Hide - Calculation'!K26),"",FIXED('Hide - Calculation'!U26,0))</f>
        <v>277</v>
      </c>
      <c r="N32" s="86"/>
      <c r="O32" s="87"/>
      <c r="P32" s="87"/>
      <c r="Q32" s="87"/>
      <c r="R32" s="84"/>
      <c r="S32" s="84"/>
      <c r="T32" s="84"/>
      <c r="U32" s="84"/>
      <c r="V32" s="84"/>
      <c r="W32" s="84"/>
      <c r="X32" s="84"/>
      <c r="Y32" s="84"/>
      <c r="Z32" s="88"/>
      <c r="AA32" s="147" t="str">
        <f>IF(ISBLANK('Hide - Calculation'!K26),"",FIXED('Hide - Calculation'!T26,0))</f>
        <v>714</v>
      </c>
      <c r="AB32" s="231" t="s">
        <v>47</v>
      </c>
      <c r="AC32" s="130" t="s">
        <v>728</v>
      </c>
    </row>
    <row r="33" spans="2:29" s="63" customFormat="1" ht="33.75" customHeight="1">
      <c r="B33" s="330"/>
      <c r="C33" s="136">
        <v>21</v>
      </c>
      <c r="D33" s="131" t="s">
        <v>82</v>
      </c>
      <c r="E33" s="85"/>
      <c r="F33" s="85"/>
      <c r="G33" s="120">
        <f>IF(VLOOKUP('Hide - Control'!A$3,'All practice data'!A:CA,C33+4,FALSE)=" "," ",VLOOKUP('Hide - Control'!A$3,'All practice data'!A:CA,C33+4,FALSE))</f>
        <v>113</v>
      </c>
      <c r="H33" s="121">
        <f>IF(VLOOKUP('Hide - Control'!A$3,'All practice data'!A:CA,C33+30,FALSE)=" "," ",VLOOKUP('Hide - Control'!A$3,'All practice data'!A:CA,C33+30,FALSE))</f>
        <v>1090.944197721568</v>
      </c>
      <c r="I33" s="122">
        <f>IF(LEFT(G33,1)=" "," n/a",IF(G33&lt;5,100000*VLOOKUP(G33,'Hide - Calculation'!AQ:AR,2,FALSE)/$E$8,100000*(G33*(1-1/(9*G33)-1.96/(3*SQRT(G33)))^3)/$E$8))</f>
        <v>899.072235618934</v>
      </c>
      <c r="J33" s="122">
        <f>IF(LEFT(G33,1)=" "," n/a",IF(G33&lt;5,100000*VLOOKUP(G33,'Hide - Calculation'!AQ:AS,3,FALSE)/$E$8,100000*((G33+1)*(1-1/(9*(G33+1))+1.96/(3*SQRT(G33+1)))^3)/$E$8))</f>
        <v>1311.6305769856642</v>
      </c>
      <c r="K33" s="121">
        <f>IF('Hide - Calculation'!N27="","",'Hide - Calculation'!N27)</f>
        <v>1075.1855580013937</v>
      </c>
      <c r="L33" s="155">
        <f>'Hide - Calculation'!O27</f>
        <v>1003.4847591501348</v>
      </c>
      <c r="M33" s="147" t="str">
        <f>IF(ISBLANK('Hide - Calculation'!K27),"",FIXED('Hide - Calculation'!U27,0))</f>
        <v>831</v>
      </c>
      <c r="N33" s="86"/>
      <c r="O33" s="87"/>
      <c r="P33" s="87"/>
      <c r="Q33" s="87"/>
      <c r="R33" s="84"/>
      <c r="S33" s="84"/>
      <c r="T33" s="84"/>
      <c r="U33" s="84"/>
      <c r="V33" s="84"/>
      <c r="W33" s="84"/>
      <c r="X33" s="84"/>
      <c r="Y33" s="84"/>
      <c r="Z33" s="88"/>
      <c r="AA33" s="147" t="str">
        <f>IF(ISBLANK('Hide - Calculation'!K27),"",FIXED('Hide - Calculation'!T27,0))</f>
        <v>1,526</v>
      </c>
      <c r="AB33" s="231" t="s">
        <v>47</v>
      </c>
      <c r="AC33" s="130" t="s">
        <v>728</v>
      </c>
    </row>
    <row r="34" spans="2:29" s="63" customFormat="1" ht="33.75" customHeight="1">
      <c r="B34" s="330"/>
      <c r="C34" s="136">
        <v>22</v>
      </c>
      <c r="D34" s="131" t="s">
        <v>81</v>
      </c>
      <c r="E34" s="85"/>
      <c r="F34" s="85"/>
      <c r="G34" s="117">
        <f>IF(VLOOKUP('Hide - Control'!A$3,'All practice data'!A:CA,C34+4,FALSE)=" "," ",VLOOKUP('Hide - Control'!A$3,'All practice data'!A:CA,C34+4,FALSE))</f>
        <v>56</v>
      </c>
      <c r="H34" s="121">
        <f>IF(VLOOKUP('Hide - Control'!A$3,'All practice data'!A:CA,C34+30,FALSE)=" "," ",VLOOKUP('Hide - Control'!A$3,'All practice data'!A:CA,C34+30,FALSE))</f>
        <v>540.6449121452018</v>
      </c>
      <c r="I34" s="122">
        <f>IF(LEFT(G34,1)=" "," n/a",IF(G34&lt;5,100000*VLOOKUP(G34,'Hide - Calculation'!AQ:AR,2,FALSE)/$E$8,100000*(G34*(1-1/(9*G34)-1.96/(3*SQRT(G34)))^3)/$E$8))</f>
        <v>408.3694078020801</v>
      </c>
      <c r="J34" s="122">
        <f>IF(LEFT(G34,1)=" "," n/a",IF(G34&lt;5,100000*VLOOKUP(G34,'Hide - Calculation'!AQ:AS,3,FALSE)/$E$8,100000*((G34+1)*(1-1/(9*(G34+1))+1.96/(3*SQRT(G34+1)))^3)/$E$8))</f>
        <v>702.0885462714554</v>
      </c>
      <c r="K34" s="121">
        <f>IF('Hide - Calculation'!N28="","",'Hide - Calculation'!N28)</f>
        <v>523.212725241419</v>
      </c>
      <c r="L34" s="155">
        <f>'Hide - Calculation'!O28</f>
        <v>586.9262672471904</v>
      </c>
      <c r="M34" s="147" t="str">
        <f>IF(ISBLANK('Hide - Calculation'!K28),"",FIXED('Hide - Calculation'!U28,0))</f>
        <v>325</v>
      </c>
      <c r="N34" s="86"/>
      <c r="O34" s="87"/>
      <c r="P34" s="87"/>
      <c r="Q34" s="87"/>
      <c r="R34" s="84"/>
      <c r="S34" s="84"/>
      <c r="T34" s="84"/>
      <c r="U34" s="84"/>
      <c r="V34" s="84"/>
      <c r="W34" s="84"/>
      <c r="X34" s="84"/>
      <c r="Y34" s="84"/>
      <c r="Z34" s="88"/>
      <c r="AA34" s="147" t="str">
        <f>IF(ISBLANK('Hide - Calculation'!K28),"",FIXED('Hide - Calculation'!T28,0))</f>
        <v>658</v>
      </c>
      <c r="AB34" s="231" t="s">
        <v>47</v>
      </c>
      <c r="AC34" s="130" t="s">
        <v>732</v>
      </c>
    </row>
    <row r="35" spans="2:29" s="63" customFormat="1" ht="33.75" customHeight="1">
      <c r="B35" s="330"/>
      <c r="C35" s="136">
        <v>23</v>
      </c>
      <c r="D35" s="137" t="s">
        <v>129</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0.17647058823529413</v>
      </c>
      <c r="I35" s="141">
        <f>IF(OR(SUM(G$35:$G37)=0,LEFT(G35,1)=" ")," n/a",+((2*G35+1.96^2-1.96*SQRT(1.96^2+4*G35*(1-G35/SUM(G$35:G$37))))/(2*(SUM(G$35:G$37)+1.96^2))))</f>
        <v>0.09572295725809898</v>
      </c>
      <c r="J35" s="141">
        <f>IF(OR(SUM(G$35:$G37)=0,LEFT(G35,1)=" ")," n/a",+((2*G35+1.96^2+1.96*SQRT(1.96^2+4*G35*(1-G35/SUM(G$35:G$37))))/(2*(SUM(G$35:G$37)+1.96^2))))</f>
        <v>0.30254405172778037</v>
      </c>
      <c r="K35" s="142">
        <f>IF('Hide - Calculation'!N29="","",'Hide - Calculation'!N29)</f>
        <v>0.19230769230769232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35.6%</v>
      </c>
      <c r="AB35" s="231" t="s">
        <v>68</v>
      </c>
      <c r="AC35" s="130" t="s">
        <v>733</v>
      </c>
    </row>
    <row r="36" spans="2:29" ht="33.75" customHeight="1">
      <c r="B36" s="327"/>
      <c r="C36" s="136">
        <v>24</v>
      </c>
      <c r="D36" s="222" t="s">
        <v>130</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0.35294117647058826</v>
      </c>
      <c r="I36" s="119">
        <f>IF(OR(SUM(G$35:$G37)=0,LEFT(G36,1)=" ")," n/a",+((2*G36+1.96^2-1.96*SQRT(1.96^2+4*G36*(1-G36/SUM(G$35:G$37))))/(2*(SUM(G$35:G$37)+1.96^2))))</f>
        <v>0.23634305381259793</v>
      </c>
      <c r="J36" s="119">
        <f>IF(OR(SUM(G$35:$G37)=0,LEFT(G36,1)=" ")," n/a",+((2*G36+1.96^2+1.96*SQRT(1.96^2+4*G36*(1-G36/SUM(G$35:G$37))))/(2*(SUM(G$35:G$37)+1.96^2))))</f>
        <v>0.49014195027189267</v>
      </c>
      <c r="K36" s="145">
        <f>IF('Hide - Calculation'!N30="","",'Hide - Calculation'!N30)</f>
        <v>0.4717948717948718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68.8%</v>
      </c>
      <c r="AB36" s="231" t="s">
        <v>68</v>
      </c>
      <c r="AC36" s="130" t="s">
        <v>733</v>
      </c>
    </row>
    <row r="37" spans="2:29" ht="33.75" customHeight="1" thickBot="1">
      <c r="B37" s="331"/>
      <c r="C37" s="175">
        <v>25</v>
      </c>
      <c r="D37" s="176" t="s">
        <v>83</v>
      </c>
      <c r="E37" s="177"/>
      <c r="F37" s="177"/>
      <c r="G37" s="125">
        <f>IF(VLOOKUP('Hide - Control'!A$3,'All practice data'!A:CA,C37+4,FALSE)=" "," ",VLOOKUP('Hide - Control'!A$3,'All practice data'!A:CA,C37+4,FALSE))</f>
        <v>24</v>
      </c>
      <c r="H37" s="126">
        <f>IF(OR(VLOOKUP('Hide - Control'!A$3,'All practice data'!A:CA,C37+30,FALSE)=" ",SUM(G35:G37)=0)," n/a",VLOOKUP('Hide - Control'!A$3,'All practice data'!A:CA,C37+30,FALSE))</f>
        <v>0.47058823529411764</v>
      </c>
      <c r="I37" s="143">
        <f>IF(OR(SUM(G$35:$G37)=0,LEFT(G37,1)=" ")," n/a",+((2*G37+1.96^2-1.96*SQRT(1.96^2+4*G37*(1-G37/SUM(G$35:G$37))))/(2*(SUM(G$35:G$37)+1.96^2))))</f>
        <v>0.34052771426416406</v>
      </c>
      <c r="J37" s="143">
        <f>IF(OR(SUM(G$35:$G37)=0,LEFT(G37,1)=" ")," n/a",+((2*G37+1.96^2+1.96*SQRT(1.96^2+4*G37*(1-G37/SUM(G$35:G$37))))/(2*(SUM(G$35:G$37)+1.96^2))))</f>
        <v>0.6047692865527341</v>
      </c>
      <c r="K37" s="126">
        <f>IF('Hide - Calculation'!N31="","",'Hide - Calculation'!N31)</f>
        <v>0.33589743589743587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47.1%</v>
      </c>
      <c r="AB37" s="233" t="s">
        <v>68</v>
      </c>
      <c r="AC37" s="148" t="s">
        <v>733</v>
      </c>
    </row>
    <row r="38" spans="2:29" ht="23.25" customHeight="1">
      <c r="B38" s="69"/>
      <c r="C38" s="69"/>
      <c r="D38" s="65" t="s">
        <v>66</v>
      </c>
      <c r="E38" s="303" t="s">
        <v>737</v>
      </c>
      <c r="F38" s="303"/>
      <c r="G38" s="303"/>
      <c r="H38" s="303"/>
      <c r="I38" s="110"/>
      <c r="J38" s="299" t="s">
        <v>742</v>
      </c>
      <c r="K38" s="92"/>
      <c r="L38" s="110"/>
      <c r="M38" s="65"/>
      <c r="N38" s="65"/>
      <c r="O38" s="65"/>
      <c r="P38" s="65"/>
      <c r="Q38" s="65"/>
      <c r="R38" s="66"/>
      <c r="S38" s="66"/>
      <c r="T38" s="66"/>
      <c r="U38" s="66"/>
      <c r="V38" s="66"/>
      <c r="W38" s="66"/>
      <c r="X38" s="66"/>
      <c r="Y38" s="66"/>
      <c r="Z38" s="66"/>
      <c r="AA38" s="66"/>
      <c r="AB38" s="82"/>
      <c r="AC38" s="83"/>
    </row>
    <row r="39" spans="2:29" ht="23.25" customHeight="1">
      <c r="B39" s="242" t="s">
        <v>735</v>
      </c>
      <c r="C39" s="241"/>
      <c r="D39" s="241"/>
      <c r="E39" s="304"/>
      <c r="F39" s="304"/>
      <c r="G39" s="304"/>
      <c r="H39" s="304"/>
      <c r="I39" s="241"/>
      <c r="J39" s="299" t="s">
        <v>734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147</v>
      </c>
      <c r="BE2" s="342"/>
      <c r="BF2" s="342"/>
      <c r="BG2" s="342"/>
      <c r="BH2" s="342"/>
      <c r="BI2" s="342"/>
      <c r="BJ2" s="343"/>
    </row>
    <row r="3" spans="1:82" s="72" customFormat="1" ht="76.5" customHeight="1">
      <c r="A3" s="263" t="s">
        <v>51</v>
      </c>
      <c r="B3" s="272" t="s">
        <v>52</v>
      </c>
      <c r="C3" s="273" t="s">
        <v>49</v>
      </c>
      <c r="D3" s="271" t="s">
        <v>740</v>
      </c>
      <c r="E3" s="264" t="s">
        <v>87</v>
      </c>
      <c r="F3" s="264" t="s">
        <v>741</v>
      </c>
      <c r="G3" s="264" t="s">
        <v>89</v>
      </c>
      <c r="H3" s="264" t="s">
        <v>90</v>
      </c>
      <c r="I3" s="264" t="s">
        <v>91</v>
      </c>
      <c r="J3" s="264" t="s">
        <v>154</v>
      </c>
      <c r="K3" s="264" t="s">
        <v>155</v>
      </c>
      <c r="L3" s="264" t="s">
        <v>156</v>
      </c>
      <c r="M3" s="264" t="s">
        <v>92</v>
      </c>
      <c r="N3" s="264" t="s">
        <v>93</v>
      </c>
      <c r="O3" s="264" t="s">
        <v>94</v>
      </c>
      <c r="P3" s="264" t="s">
        <v>146</v>
      </c>
      <c r="Q3" s="264" t="s">
        <v>95</v>
      </c>
      <c r="R3" s="264" t="s">
        <v>96</v>
      </c>
      <c r="S3" s="264" t="s">
        <v>97</v>
      </c>
      <c r="T3" s="264" t="s">
        <v>98</v>
      </c>
      <c r="U3" s="264" t="s">
        <v>99</v>
      </c>
      <c r="V3" s="264" t="s">
        <v>100</v>
      </c>
      <c r="W3" s="264" t="s">
        <v>101</v>
      </c>
      <c r="X3" s="264" t="s">
        <v>102</v>
      </c>
      <c r="Y3" s="264" t="s">
        <v>103</v>
      </c>
      <c r="Z3" s="264" t="s">
        <v>104</v>
      </c>
      <c r="AA3" s="264" t="s">
        <v>105</v>
      </c>
      <c r="AB3" s="264" t="s">
        <v>106</v>
      </c>
      <c r="AC3" s="264" t="s">
        <v>107</v>
      </c>
      <c r="AD3" s="265" t="s">
        <v>108</v>
      </c>
      <c r="AE3" s="265" t="s">
        <v>87</v>
      </c>
      <c r="AF3" s="266" t="s">
        <v>88</v>
      </c>
      <c r="AG3" s="265" t="s">
        <v>89</v>
      </c>
      <c r="AH3" s="265" t="s">
        <v>90</v>
      </c>
      <c r="AI3" s="265" t="s">
        <v>91</v>
      </c>
      <c r="AJ3" s="265" t="s">
        <v>154</v>
      </c>
      <c r="AK3" s="265" t="s">
        <v>155</v>
      </c>
      <c r="AL3" s="265" t="s">
        <v>156</v>
      </c>
      <c r="AM3" s="265" t="s">
        <v>92</v>
      </c>
      <c r="AN3" s="265" t="s">
        <v>93</v>
      </c>
      <c r="AO3" s="265" t="s">
        <v>94</v>
      </c>
      <c r="AP3" s="265" t="s">
        <v>146</v>
      </c>
      <c r="AQ3" s="265" t="s">
        <v>95</v>
      </c>
      <c r="AR3" s="265" t="s">
        <v>96</v>
      </c>
      <c r="AS3" s="265" t="s">
        <v>97</v>
      </c>
      <c r="AT3" s="265" t="s">
        <v>98</v>
      </c>
      <c r="AU3" s="265" t="s">
        <v>99</v>
      </c>
      <c r="AV3" s="265" t="s">
        <v>100</v>
      </c>
      <c r="AW3" s="265" t="s">
        <v>101</v>
      </c>
      <c r="AX3" s="265" t="s">
        <v>102</v>
      </c>
      <c r="AY3" s="267" t="s">
        <v>103</v>
      </c>
      <c r="AZ3" s="268" t="s">
        <v>104</v>
      </c>
      <c r="BA3" s="268" t="s">
        <v>105</v>
      </c>
      <c r="BB3" s="268" t="s">
        <v>106</v>
      </c>
      <c r="BC3" s="269" t="s">
        <v>107</v>
      </c>
      <c r="BD3" s="270" t="s">
        <v>144</v>
      </c>
      <c r="BE3" s="270" t="s">
        <v>145</v>
      </c>
      <c r="BF3" s="270" t="s">
        <v>150</v>
      </c>
      <c r="BG3" s="270" t="s">
        <v>151</v>
      </c>
      <c r="BH3" s="270" t="s">
        <v>149</v>
      </c>
      <c r="BI3" s="270" t="s">
        <v>152</v>
      </c>
      <c r="BJ3" s="270" t="s">
        <v>153</v>
      </c>
      <c r="BK3" s="73"/>
      <c r="BL3" s="73"/>
      <c r="BM3" s="73"/>
      <c r="BN3" s="73"/>
      <c r="BO3" s="73"/>
      <c r="BP3" s="73"/>
      <c r="BQ3" s="73"/>
      <c r="BR3" s="73"/>
      <c r="BS3" s="73"/>
      <c r="BT3" s="73"/>
      <c r="BU3" s="73"/>
      <c r="BV3" s="73"/>
      <c r="BW3" s="73"/>
      <c r="BX3" s="73"/>
      <c r="BY3" s="73"/>
      <c r="BZ3" s="73"/>
      <c r="CA3" s="73"/>
      <c r="CB3" s="73"/>
      <c r="CC3" s="73"/>
      <c r="CD3" s="73"/>
    </row>
    <row r="4" spans="1:66" ht="12.75">
      <c r="A4" s="79" t="s">
        <v>364</v>
      </c>
      <c r="B4" s="79" t="s">
        <v>63</v>
      </c>
      <c r="C4" s="79" t="s">
        <v>360</v>
      </c>
      <c r="D4" s="99">
        <v>10358</v>
      </c>
      <c r="E4" s="99">
        <v>1802</v>
      </c>
      <c r="F4" s="99" t="s">
        <v>86</v>
      </c>
      <c r="G4" s="99">
        <v>72</v>
      </c>
      <c r="H4" s="99">
        <v>24</v>
      </c>
      <c r="I4" s="99">
        <v>247</v>
      </c>
      <c r="J4" s="99">
        <v>1125</v>
      </c>
      <c r="K4" s="99">
        <v>214</v>
      </c>
      <c r="L4" s="99">
        <v>2064</v>
      </c>
      <c r="M4" s="99">
        <v>752</v>
      </c>
      <c r="N4" s="99">
        <v>415</v>
      </c>
      <c r="O4" s="99">
        <v>257</v>
      </c>
      <c r="P4" s="158">
        <v>257</v>
      </c>
      <c r="Q4" s="99">
        <v>20</v>
      </c>
      <c r="R4" s="99">
        <v>54</v>
      </c>
      <c r="S4" s="99">
        <v>37</v>
      </c>
      <c r="T4" s="99">
        <v>43</v>
      </c>
      <c r="U4" s="99" t="s">
        <v>738</v>
      </c>
      <c r="V4" s="99">
        <v>85</v>
      </c>
      <c r="W4" s="99">
        <v>73</v>
      </c>
      <c r="X4" s="99">
        <v>74</v>
      </c>
      <c r="Y4" s="99">
        <v>113</v>
      </c>
      <c r="Z4" s="99">
        <v>56</v>
      </c>
      <c r="AA4" s="99">
        <v>9</v>
      </c>
      <c r="AB4" s="99">
        <v>18</v>
      </c>
      <c r="AC4" s="99">
        <v>24</v>
      </c>
      <c r="AD4" s="98" t="s">
        <v>66</v>
      </c>
      <c r="AE4" s="100">
        <v>0.173971809229581</v>
      </c>
      <c r="AF4" s="100">
        <v>0.03</v>
      </c>
      <c r="AG4" s="98">
        <v>695.1148870438309</v>
      </c>
      <c r="AH4" s="98">
        <v>231.70496234794362</v>
      </c>
      <c r="AI4" s="100">
        <v>0.023799999999999998</v>
      </c>
      <c r="AJ4" s="100">
        <v>0.803571</v>
      </c>
      <c r="AK4" s="100">
        <v>0.650456</v>
      </c>
      <c r="AL4" s="100">
        <v>0.773613</v>
      </c>
      <c r="AM4" s="100">
        <v>0.612877</v>
      </c>
      <c r="AN4" s="100">
        <v>0.633588</v>
      </c>
      <c r="AO4" s="98">
        <v>2481.1739718092294</v>
      </c>
      <c r="AP4" s="157">
        <v>1.1547</v>
      </c>
      <c r="AQ4" s="100">
        <v>0.07782101167315175</v>
      </c>
      <c r="AR4" s="100">
        <v>0.37037037037037035</v>
      </c>
      <c r="AS4" s="98">
        <v>357.21181695307973</v>
      </c>
      <c r="AT4" s="98">
        <v>415.13805754006563</v>
      </c>
      <c r="AU4" s="98" t="s">
        <v>738</v>
      </c>
      <c r="AV4" s="98">
        <v>820.621741648967</v>
      </c>
      <c r="AW4" s="98">
        <v>704.7692604749951</v>
      </c>
      <c r="AX4" s="98">
        <v>714.4236339061595</v>
      </c>
      <c r="AY4" s="98">
        <v>1090.944197721568</v>
      </c>
      <c r="AZ4" s="98">
        <v>540.6449121452018</v>
      </c>
      <c r="BA4" s="100">
        <v>0.17647058823529413</v>
      </c>
      <c r="BB4" s="100">
        <v>0.35294117647058826</v>
      </c>
      <c r="BC4" s="100">
        <v>0.47058823529411764</v>
      </c>
      <c r="BD4" s="157">
        <v>1.0178</v>
      </c>
      <c r="BE4" s="157">
        <v>1.3048</v>
      </c>
      <c r="BF4" s="161">
        <v>1400</v>
      </c>
      <c r="BG4" s="161">
        <v>329</v>
      </c>
      <c r="BH4" s="161">
        <v>2668</v>
      </c>
      <c r="BI4" s="161">
        <v>1227</v>
      </c>
      <c r="BJ4" s="161">
        <v>655</v>
      </c>
      <c r="BK4" s="97"/>
      <c r="BL4" s="97"/>
      <c r="BM4" s="97"/>
      <c r="BN4" s="97"/>
    </row>
    <row r="5" spans="1:66" ht="12.75">
      <c r="A5" s="79" t="s">
        <v>739</v>
      </c>
      <c r="B5" s="79" t="s">
        <v>62</v>
      </c>
      <c r="C5" s="79" t="s">
        <v>360</v>
      </c>
      <c r="D5" s="99">
        <v>9503</v>
      </c>
      <c r="E5" s="99">
        <v>1476</v>
      </c>
      <c r="F5" s="99" t="s">
        <v>85</v>
      </c>
      <c r="G5" s="99">
        <v>43</v>
      </c>
      <c r="H5" s="99">
        <v>20</v>
      </c>
      <c r="I5" s="99">
        <v>188</v>
      </c>
      <c r="J5" s="99">
        <v>892</v>
      </c>
      <c r="K5" s="99">
        <v>9</v>
      </c>
      <c r="L5" s="99">
        <v>1807</v>
      </c>
      <c r="M5" s="99">
        <v>581</v>
      </c>
      <c r="N5" s="99">
        <v>310</v>
      </c>
      <c r="O5" s="99">
        <v>153</v>
      </c>
      <c r="P5" s="158">
        <v>153</v>
      </c>
      <c r="Q5" s="99">
        <v>20</v>
      </c>
      <c r="R5" s="99">
        <v>47</v>
      </c>
      <c r="S5" s="99">
        <v>40</v>
      </c>
      <c r="T5" s="99">
        <v>36</v>
      </c>
      <c r="U5" s="99" t="s">
        <v>738</v>
      </c>
      <c r="V5" s="99">
        <v>19</v>
      </c>
      <c r="W5" s="99">
        <v>68</v>
      </c>
      <c r="X5" s="99">
        <v>51</v>
      </c>
      <c r="Y5" s="99">
        <v>122</v>
      </c>
      <c r="Z5" s="99">
        <v>61</v>
      </c>
      <c r="AA5" s="99">
        <v>7</v>
      </c>
      <c r="AB5" s="99">
        <v>17</v>
      </c>
      <c r="AC5" s="99">
        <v>13</v>
      </c>
      <c r="AD5" s="98" t="s">
        <v>66</v>
      </c>
      <c r="AE5" s="100">
        <v>0.15531937282963273</v>
      </c>
      <c r="AF5" s="100">
        <v>0.09</v>
      </c>
      <c r="AG5" s="98">
        <v>452.4886877828054</v>
      </c>
      <c r="AH5" s="98">
        <v>210.4598547827002</v>
      </c>
      <c r="AI5" s="100">
        <v>0.019799999999999998</v>
      </c>
      <c r="AJ5" s="100">
        <v>0.771626</v>
      </c>
      <c r="AK5" s="100">
        <v>0.5</v>
      </c>
      <c r="AL5" s="100">
        <v>0.775869</v>
      </c>
      <c r="AM5" s="100">
        <v>0.615466</v>
      </c>
      <c r="AN5" s="100">
        <v>0.590476</v>
      </c>
      <c r="AO5" s="98">
        <v>1610.0178890876566</v>
      </c>
      <c r="AP5" s="157">
        <v>0.8031</v>
      </c>
      <c r="AQ5" s="100">
        <v>0.13071895424836602</v>
      </c>
      <c r="AR5" s="100">
        <v>0.425531914893617</v>
      </c>
      <c r="AS5" s="98">
        <v>420.9197095654004</v>
      </c>
      <c r="AT5" s="98">
        <v>378.8277386088604</v>
      </c>
      <c r="AU5" s="98" t="s">
        <v>738</v>
      </c>
      <c r="AV5" s="98">
        <v>199.93686204356518</v>
      </c>
      <c r="AW5" s="98">
        <v>715.5635062611807</v>
      </c>
      <c r="AX5" s="98">
        <v>536.6726296958855</v>
      </c>
      <c r="AY5" s="98">
        <v>1283.8051141744713</v>
      </c>
      <c r="AZ5" s="98">
        <v>641.9025570872357</v>
      </c>
      <c r="BA5" s="100">
        <v>0.1891891891891892</v>
      </c>
      <c r="BB5" s="100">
        <v>0.4594594594594595</v>
      </c>
      <c r="BC5" s="100">
        <v>0.35135135135135137</v>
      </c>
      <c r="BD5" s="157">
        <v>0.6809000000000001</v>
      </c>
      <c r="BE5" s="157">
        <v>0.9409000000000001</v>
      </c>
      <c r="BF5" s="161">
        <v>1156</v>
      </c>
      <c r="BG5" s="161">
        <v>18</v>
      </c>
      <c r="BH5" s="161">
        <v>2329</v>
      </c>
      <c r="BI5" s="161">
        <v>944</v>
      </c>
      <c r="BJ5" s="161">
        <v>525</v>
      </c>
      <c r="BK5" s="97"/>
      <c r="BL5" s="97"/>
      <c r="BM5" s="97"/>
      <c r="BN5" s="97"/>
    </row>
    <row r="6" spans="1:66" ht="12.75">
      <c r="A6" s="79" t="s">
        <v>158</v>
      </c>
      <c r="B6" s="79" t="s">
        <v>57</v>
      </c>
      <c r="C6" s="79" t="s">
        <v>360</v>
      </c>
      <c r="D6" s="99">
        <v>27238</v>
      </c>
      <c r="E6" s="99">
        <v>4607</v>
      </c>
      <c r="F6" s="99" t="s">
        <v>86</v>
      </c>
      <c r="G6" s="99">
        <v>126</v>
      </c>
      <c r="H6" s="99">
        <v>63</v>
      </c>
      <c r="I6" s="99">
        <v>499</v>
      </c>
      <c r="J6" s="99">
        <v>2555</v>
      </c>
      <c r="K6" s="99">
        <v>534</v>
      </c>
      <c r="L6" s="99">
        <v>5300</v>
      </c>
      <c r="M6" s="99">
        <v>1847</v>
      </c>
      <c r="N6" s="99">
        <v>913</v>
      </c>
      <c r="O6" s="99">
        <v>318</v>
      </c>
      <c r="P6" s="158">
        <v>318</v>
      </c>
      <c r="Q6" s="99">
        <v>47</v>
      </c>
      <c r="R6" s="99">
        <v>116</v>
      </c>
      <c r="S6" s="99">
        <v>105</v>
      </c>
      <c r="T6" s="99">
        <v>59</v>
      </c>
      <c r="U6" s="99" t="s">
        <v>738</v>
      </c>
      <c r="V6" s="99">
        <v>53</v>
      </c>
      <c r="W6" s="99">
        <v>191</v>
      </c>
      <c r="X6" s="99">
        <v>147</v>
      </c>
      <c r="Y6" s="99">
        <v>240</v>
      </c>
      <c r="Z6" s="99">
        <v>163</v>
      </c>
      <c r="AA6" s="99">
        <v>16</v>
      </c>
      <c r="AB6" s="99">
        <v>66</v>
      </c>
      <c r="AC6" s="99">
        <v>36</v>
      </c>
      <c r="AD6" s="98" t="s">
        <v>66</v>
      </c>
      <c r="AE6" s="100">
        <v>0.1691387032821793</v>
      </c>
      <c r="AF6" s="100">
        <v>0.07</v>
      </c>
      <c r="AG6" s="98">
        <v>462.58903003157354</v>
      </c>
      <c r="AH6" s="98">
        <v>231.29451501578677</v>
      </c>
      <c r="AI6" s="100">
        <v>0.0183</v>
      </c>
      <c r="AJ6" s="100">
        <v>0.741655</v>
      </c>
      <c r="AK6" s="100">
        <v>0.733516</v>
      </c>
      <c r="AL6" s="100">
        <v>0.767115</v>
      </c>
      <c r="AM6" s="100">
        <v>0.608166</v>
      </c>
      <c r="AN6" s="100">
        <v>0.582642</v>
      </c>
      <c r="AO6" s="98">
        <v>1167.486599603495</v>
      </c>
      <c r="AP6" s="157">
        <v>0.5674</v>
      </c>
      <c r="AQ6" s="100">
        <v>0.14779874213836477</v>
      </c>
      <c r="AR6" s="100">
        <v>0.4051724137931034</v>
      </c>
      <c r="AS6" s="98">
        <v>385.4908583596446</v>
      </c>
      <c r="AT6" s="98">
        <v>216.6091489830384</v>
      </c>
      <c r="AU6" s="98" t="s">
        <v>738</v>
      </c>
      <c r="AV6" s="98">
        <v>194.58109993391585</v>
      </c>
      <c r="AW6" s="98">
        <v>701.2262280637345</v>
      </c>
      <c r="AX6" s="98">
        <v>539.6872017035024</v>
      </c>
      <c r="AY6" s="98">
        <v>881.121961964902</v>
      </c>
      <c r="AZ6" s="98">
        <v>598.428665834496</v>
      </c>
      <c r="BA6" s="100">
        <v>0.13559322033898305</v>
      </c>
      <c r="BB6" s="100">
        <v>0.559322033898305</v>
      </c>
      <c r="BC6" s="100">
        <v>0.3050847457627119</v>
      </c>
      <c r="BD6" s="157">
        <v>0.5068</v>
      </c>
      <c r="BE6" s="157">
        <v>0.6333</v>
      </c>
      <c r="BF6" s="161">
        <v>3445</v>
      </c>
      <c r="BG6" s="161">
        <v>728</v>
      </c>
      <c r="BH6" s="161">
        <v>6909</v>
      </c>
      <c r="BI6" s="161">
        <v>3037</v>
      </c>
      <c r="BJ6" s="161">
        <v>1567</v>
      </c>
      <c r="BK6" s="97"/>
      <c r="BL6" s="97"/>
      <c r="BM6" s="97"/>
      <c r="BN6" s="97"/>
    </row>
    <row r="7" spans="1:66" ht="12.75">
      <c r="A7" s="79" t="s">
        <v>363</v>
      </c>
      <c r="B7" s="79" t="s">
        <v>61</v>
      </c>
      <c r="C7" s="79" t="s">
        <v>360</v>
      </c>
      <c r="D7" s="99">
        <v>11412</v>
      </c>
      <c r="E7" s="99">
        <v>1794</v>
      </c>
      <c r="F7" s="99" t="s">
        <v>86</v>
      </c>
      <c r="G7" s="99">
        <v>47</v>
      </c>
      <c r="H7" s="99">
        <v>18</v>
      </c>
      <c r="I7" s="99">
        <v>196</v>
      </c>
      <c r="J7" s="99">
        <v>1060</v>
      </c>
      <c r="K7" s="99">
        <v>1028</v>
      </c>
      <c r="L7" s="99">
        <v>2152</v>
      </c>
      <c r="M7" s="99">
        <v>611</v>
      </c>
      <c r="N7" s="99">
        <v>344</v>
      </c>
      <c r="O7" s="99">
        <v>166</v>
      </c>
      <c r="P7" s="158">
        <v>166</v>
      </c>
      <c r="Q7" s="99">
        <v>22</v>
      </c>
      <c r="R7" s="99">
        <v>65</v>
      </c>
      <c r="S7" s="99">
        <v>46</v>
      </c>
      <c r="T7" s="99">
        <v>21</v>
      </c>
      <c r="U7" s="99" t="s">
        <v>738</v>
      </c>
      <c r="V7" s="99">
        <v>31</v>
      </c>
      <c r="W7" s="99">
        <v>93</v>
      </c>
      <c r="X7" s="99">
        <v>53</v>
      </c>
      <c r="Y7" s="99">
        <v>141</v>
      </c>
      <c r="Z7" s="99">
        <v>45</v>
      </c>
      <c r="AA7" s="99">
        <v>16</v>
      </c>
      <c r="AB7" s="99">
        <v>18</v>
      </c>
      <c r="AC7" s="99">
        <v>11</v>
      </c>
      <c r="AD7" s="98" t="s">
        <v>66</v>
      </c>
      <c r="AE7" s="100">
        <v>0.15720294426919032</v>
      </c>
      <c r="AF7" s="100">
        <v>0.07</v>
      </c>
      <c r="AG7" s="98">
        <v>411.8471784086926</v>
      </c>
      <c r="AH7" s="98">
        <v>157.72870662460568</v>
      </c>
      <c r="AI7" s="100">
        <v>0.0172</v>
      </c>
      <c r="AJ7" s="100">
        <v>0.789866</v>
      </c>
      <c r="AK7" s="100">
        <v>0.782344</v>
      </c>
      <c r="AL7" s="100">
        <v>0.740282</v>
      </c>
      <c r="AM7" s="100">
        <v>0.56679</v>
      </c>
      <c r="AN7" s="100">
        <v>0.55935</v>
      </c>
      <c r="AO7" s="98">
        <v>1454.609183315808</v>
      </c>
      <c r="AP7" s="157">
        <v>0.7437999999999999</v>
      </c>
      <c r="AQ7" s="100">
        <v>0.13253012048192772</v>
      </c>
      <c r="AR7" s="100">
        <v>0.3384615384615385</v>
      </c>
      <c r="AS7" s="98">
        <v>403.0844724851034</v>
      </c>
      <c r="AT7" s="98">
        <v>184.0168243953733</v>
      </c>
      <c r="AU7" s="98" t="s">
        <v>738</v>
      </c>
      <c r="AV7" s="98">
        <v>271.64388363126534</v>
      </c>
      <c r="AW7" s="98">
        <v>814.931650893796</v>
      </c>
      <c r="AX7" s="98">
        <v>464.4234139502278</v>
      </c>
      <c r="AY7" s="98">
        <v>1235.5415352260777</v>
      </c>
      <c r="AZ7" s="98">
        <v>394.3217665615142</v>
      </c>
      <c r="BA7" s="100">
        <v>0.35555555555555557</v>
      </c>
      <c r="BB7" s="100">
        <v>0.4</v>
      </c>
      <c r="BC7" s="100">
        <v>0.24444444444444444</v>
      </c>
      <c r="BD7" s="157">
        <v>0.6349</v>
      </c>
      <c r="BE7" s="157">
        <v>0.8659</v>
      </c>
      <c r="BF7" s="161">
        <v>1342</v>
      </c>
      <c r="BG7" s="161">
        <v>1314</v>
      </c>
      <c r="BH7" s="161">
        <v>2907</v>
      </c>
      <c r="BI7" s="161">
        <v>1078</v>
      </c>
      <c r="BJ7" s="161">
        <v>615</v>
      </c>
      <c r="BK7" s="97"/>
      <c r="BL7" s="97"/>
      <c r="BM7" s="97"/>
      <c r="BN7" s="97"/>
    </row>
    <row r="8" spans="1:66" ht="12.75">
      <c r="A8" s="79" t="s">
        <v>161</v>
      </c>
      <c r="B8" s="79" t="s">
        <v>64</v>
      </c>
      <c r="C8" s="79" t="s">
        <v>360</v>
      </c>
      <c r="D8" s="99">
        <v>4613</v>
      </c>
      <c r="E8" s="99">
        <v>658</v>
      </c>
      <c r="F8" s="99" t="s">
        <v>86</v>
      </c>
      <c r="G8" s="99" t="s">
        <v>738</v>
      </c>
      <c r="H8" s="99" t="s">
        <v>738</v>
      </c>
      <c r="I8" s="99">
        <v>83</v>
      </c>
      <c r="J8" s="99">
        <v>424</v>
      </c>
      <c r="K8" s="99">
        <v>413</v>
      </c>
      <c r="L8" s="99">
        <v>986</v>
      </c>
      <c r="M8" s="99">
        <v>306</v>
      </c>
      <c r="N8" s="99">
        <v>158</v>
      </c>
      <c r="O8" s="99">
        <v>79</v>
      </c>
      <c r="P8" s="158">
        <v>79</v>
      </c>
      <c r="Q8" s="99" t="s">
        <v>738</v>
      </c>
      <c r="R8" s="99" t="s">
        <v>738</v>
      </c>
      <c r="S8" s="99">
        <v>22</v>
      </c>
      <c r="T8" s="99">
        <v>17</v>
      </c>
      <c r="U8" s="99" t="s">
        <v>738</v>
      </c>
      <c r="V8" s="99">
        <v>16</v>
      </c>
      <c r="W8" s="99">
        <v>27</v>
      </c>
      <c r="X8" s="99">
        <v>22</v>
      </c>
      <c r="Y8" s="99">
        <v>46</v>
      </c>
      <c r="Z8" s="99">
        <v>15</v>
      </c>
      <c r="AA8" s="99" t="s">
        <v>738</v>
      </c>
      <c r="AB8" s="99">
        <v>11</v>
      </c>
      <c r="AC8" s="99" t="s">
        <v>738</v>
      </c>
      <c r="AD8" s="98" t="s">
        <v>66</v>
      </c>
      <c r="AE8" s="100">
        <v>0.1426403641881639</v>
      </c>
      <c r="AF8" s="100">
        <v>0.03</v>
      </c>
      <c r="AG8" s="98" t="s">
        <v>738</v>
      </c>
      <c r="AH8" s="98" t="s">
        <v>738</v>
      </c>
      <c r="AI8" s="100">
        <v>0.018000000000000002</v>
      </c>
      <c r="AJ8" s="100">
        <v>0.751773</v>
      </c>
      <c r="AK8" s="100">
        <v>0.759191</v>
      </c>
      <c r="AL8" s="100">
        <v>0.796446</v>
      </c>
      <c r="AM8" s="100">
        <v>0.625767</v>
      </c>
      <c r="AN8" s="100">
        <v>0.614786</v>
      </c>
      <c r="AO8" s="98">
        <v>1712.5514849338824</v>
      </c>
      <c r="AP8" s="157">
        <v>0.9079</v>
      </c>
      <c r="AQ8" s="100" t="s">
        <v>738</v>
      </c>
      <c r="AR8" s="100" t="s">
        <v>738</v>
      </c>
      <c r="AS8" s="98">
        <v>476.9130717537394</v>
      </c>
      <c r="AT8" s="98">
        <v>368.5237372642532</v>
      </c>
      <c r="AU8" s="98" t="s">
        <v>738</v>
      </c>
      <c r="AV8" s="98">
        <v>346.84587036635594</v>
      </c>
      <c r="AW8" s="98">
        <v>585.3024062432256</v>
      </c>
      <c r="AX8" s="98">
        <v>476.9130717537394</v>
      </c>
      <c r="AY8" s="98">
        <v>997.1818773032734</v>
      </c>
      <c r="AZ8" s="98">
        <v>325.1680034684587</v>
      </c>
      <c r="BA8" s="100" t="s">
        <v>738</v>
      </c>
      <c r="BB8" s="100">
        <v>0.6875</v>
      </c>
      <c r="BC8" s="100" t="s">
        <v>738</v>
      </c>
      <c r="BD8" s="157">
        <v>0.7188</v>
      </c>
      <c r="BE8" s="157">
        <v>1.1316</v>
      </c>
      <c r="BF8" s="161">
        <v>564</v>
      </c>
      <c r="BG8" s="161">
        <v>544</v>
      </c>
      <c r="BH8" s="161">
        <v>1238</v>
      </c>
      <c r="BI8" s="161">
        <v>489</v>
      </c>
      <c r="BJ8" s="161">
        <v>257</v>
      </c>
      <c r="BK8" s="97"/>
      <c r="BL8" s="97"/>
      <c r="BM8" s="97"/>
      <c r="BN8" s="97"/>
    </row>
    <row r="9" spans="1:66" ht="12.75">
      <c r="A9" s="79" t="s">
        <v>159</v>
      </c>
      <c r="B9" s="79" t="s">
        <v>58</v>
      </c>
      <c r="C9" s="79" t="s">
        <v>360</v>
      </c>
      <c r="D9" s="99">
        <v>6426</v>
      </c>
      <c r="E9" s="99">
        <v>1077</v>
      </c>
      <c r="F9" s="99" t="s">
        <v>86</v>
      </c>
      <c r="G9" s="99">
        <v>31</v>
      </c>
      <c r="H9" s="99">
        <v>17</v>
      </c>
      <c r="I9" s="99">
        <v>142</v>
      </c>
      <c r="J9" s="99">
        <v>598</v>
      </c>
      <c r="K9" s="99" t="s">
        <v>738</v>
      </c>
      <c r="L9" s="99">
        <v>1306</v>
      </c>
      <c r="M9" s="99">
        <v>419</v>
      </c>
      <c r="N9" s="99">
        <v>208</v>
      </c>
      <c r="O9" s="99">
        <v>104</v>
      </c>
      <c r="P9" s="158">
        <v>104</v>
      </c>
      <c r="Q9" s="99">
        <v>18</v>
      </c>
      <c r="R9" s="99">
        <v>37</v>
      </c>
      <c r="S9" s="99">
        <v>24</v>
      </c>
      <c r="T9" s="99" t="s">
        <v>738</v>
      </c>
      <c r="U9" s="99" t="s">
        <v>738</v>
      </c>
      <c r="V9" s="99" t="s">
        <v>738</v>
      </c>
      <c r="W9" s="99">
        <v>38</v>
      </c>
      <c r="X9" s="99">
        <v>18</v>
      </c>
      <c r="Y9" s="99">
        <v>57</v>
      </c>
      <c r="Z9" s="99">
        <v>27</v>
      </c>
      <c r="AA9" s="99" t="s">
        <v>738</v>
      </c>
      <c r="AB9" s="99" t="s">
        <v>738</v>
      </c>
      <c r="AC9" s="99" t="s">
        <v>738</v>
      </c>
      <c r="AD9" s="98" t="s">
        <v>66</v>
      </c>
      <c r="AE9" s="100">
        <v>0.1676003734827264</v>
      </c>
      <c r="AF9" s="100">
        <v>0.06</v>
      </c>
      <c r="AG9" s="98">
        <v>482.41518829754125</v>
      </c>
      <c r="AH9" s="98">
        <v>264.55026455026456</v>
      </c>
      <c r="AI9" s="100">
        <v>0.022099999999999998</v>
      </c>
      <c r="AJ9" s="100">
        <v>0.768638</v>
      </c>
      <c r="AK9" s="100" t="s">
        <v>738</v>
      </c>
      <c r="AL9" s="100">
        <v>0.772781</v>
      </c>
      <c r="AM9" s="100">
        <v>0.583565</v>
      </c>
      <c r="AN9" s="100">
        <v>0.557641</v>
      </c>
      <c r="AO9" s="98">
        <v>1618.4251478369126</v>
      </c>
      <c r="AP9" s="157">
        <v>0.7841</v>
      </c>
      <c r="AQ9" s="100">
        <v>0.17307692307692307</v>
      </c>
      <c r="AR9" s="100">
        <v>0.4864864864864865</v>
      </c>
      <c r="AS9" s="98">
        <v>373.4827264239029</v>
      </c>
      <c r="AT9" s="98" t="s">
        <v>738</v>
      </c>
      <c r="AU9" s="98" t="s">
        <v>738</v>
      </c>
      <c r="AV9" s="98" t="s">
        <v>738</v>
      </c>
      <c r="AW9" s="98">
        <v>591.3476501711796</v>
      </c>
      <c r="AX9" s="98">
        <v>280.1120448179272</v>
      </c>
      <c r="AY9" s="98">
        <v>887.0214752567693</v>
      </c>
      <c r="AZ9" s="98">
        <v>420.16806722689074</v>
      </c>
      <c r="BA9" s="100" t="s">
        <v>738</v>
      </c>
      <c r="BB9" s="100" t="s">
        <v>738</v>
      </c>
      <c r="BC9" s="100" t="s">
        <v>738</v>
      </c>
      <c r="BD9" s="157">
        <v>0.6406999999999999</v>
      </c>
      <c r="BE9" s="157">
        <v>0.9501000000000001</v>
      </c>
      <c r="BF9" s="161">
        <v>778</v>
      </c>
      <c r="BG9" s="161" t="s">
        <v>738</v>
      </c>
      <c r="BH9" s="161">
        <v>1690</v>
      </c>
      <c r="BI9" s="161">
        <v>718</v>
      </c>
      <c r="BJ9" s="161">
        <v>373</v>
      </c>
      <c r="BK9" s="97"/>
      <c r="BL9" s="97"/>
      <c r="BM9" s="97"/>
      <c r="BN9" s="97"/>
    </row>
    <row r="10" spans="1:66" ht="12.75">
      <c r="A10" s="79" t="s">
        <v>160</v>
      </c>
      <c r="B10" s="79" t="s">
        <v>60</v>
      </c>
      <c r="C10" s="79" t="s">
        <v>360</v>
      </c>
      <c r="D10" s="99">
        <v>11543</v>
      </c>
      <c r="E10" s="99">
        <v>2311</v>
      </c>
      <c r="F10" s="99" t="s">
        <v>86</v>
      </c>
      <c r="G10" s="99">
        <v>52</v>
      </c>
      <c r="H10" s="99">
        <v>29</v>
      </c>
      <c r="I10" s="99">
        <v>240</v>
      </c>
      <c r="J10" s="99">
        <v>1148</v>
      </c>
      <c r="K10" s="99">
        <v>1113</v>
      </c>
      <c r="L10" s="99">
        <v>2076</v>
      </c>
      <c r="M10" s="99">
        <v>943</v>
      </c>
      <c r="N10" s="99">
        <v>489</v>
      </c>
      <c r="O10" s="99">
        <v>237</v>
      </c>
      <c r="P10" s="158">
        <v>237</v>
      </c>
      <c r="Q10" s="99">
        <v>23</v>
      </c>
      <c r="R10" s="99">
        <v>54</v>
      </c>
      <c r="S10" s="99">
        <v>72</v>
      </c>
      <c r="T10" s="99">
        <v>31</v>
      </c>
      <c r="U10" s="99" t="s">
        <v>738</v>
      </c>
      <c r="V10" s="99">
        <v>53</v>
      </c>
      <c r="W10" s="99">
        <v>83</v>
      </c>
      <c r="X10" s="99">
        <v>59</v>
      </c>
      <c r="Y10" s="99">
        <v>126</v>
      </c>
      <c r="Z10" s="99">
        <v>51</v>
      </c>
      <c r="AA10" s="99">
        <v>10</v>
      </c>
      <c r="AB10" s="99">
        <v>26</v>
      </c>
      <c r="AC10" s="99">
        <v>20</v>
      </c>
      <c r="AD10" s="98" t="s">
        <v>66</v>
      </c>
      <c r="AE10" s="100">
        <v>0.20020791821883394</v>
      </c>
      <c r="AF10" s="100">
        <v>0.06</v>
      </c>
      <c r="AG10" s="98">
        <v>450.4894741401715</v>
      </c>
      <c r="AH10" s="98">
        <v>251.23451442432642</v>
      </c>
      <c r="AI10" s="100">
        <v>0.0208</v>
      </c>
      <c r="AJ10" s="100">
        <v>0.749837</v>
      </c>
      <c r="AK10" s="100">
        <v>0.753555</v>
      </c>
      <c r="AL10" s="100">
        <v>0.755734</v>
      </c>
      <c r="AM10" s="100">
        <v>0.61958</v>
      </c>
      <c r="AN10" s="100">
        <v>0.6067</v>
      </c>
      <c r="AO10" s="98">
        <v>2053.1924109850124</v>
      </c>
      <c r="AP10" s="157">
        <v>0.9442</v>
      </c>
      <c r="AQ10" s="100">
        <v>0.0970464135021097</v>
      </c>
      <c r="AR10" s="100">
        <v>0.42592592592592593</v>
      </c>
      <c r="AS10" s="98">
        <v>623.7546565017759</v>
      </c>
      <c r="AT10" s="98">
        <v>268.5610326604869</v>
      </c>
      <c r="AU10" s="98" t="s">
        <v>738</v>
      </c>
      <c r="AV10" s="98">
        <v>459.15273325825177</v>
      </c>
      <c r="AW10" s="98">
        <v>719.0505068006584</v>
      </c>
      <c r="AX10" s="98">
        <v>511.1322879667331</v>
      </c>
      <c r="AY10" s="98">
        <v>1091.570648878108</v>
      </c>
      <c r="AZ10" s="98">
        <v>441.82621502209133</v>
      </c>
      <c r="BA10" s="100">
        <v>0.17857142857142858</v>
      </c>
      <c r="BB10" s="100">
        <v>0.4642857142857143</v>
      </c>
      <c r="BC10" s="100">
        <v>0.35714285714285715</v>
      </c>
      <c r="BD10" s="157">
        <v>0.8278</v>
      </c>
      <c r="BE10" s="157">
        <v>1.0724</v>
      </c>
      <c r="BF10" s="161">
        <v>1531</v>
      </c>
      <c r="BG10" s="161">
        <v>1477</v>
      </c>
      <c r="BH10" s="161">
        <v>2747</v>
      </c>
      <c r="BI10" s="161">
        <v>1522</v>
      </c>
      <c r="BJ10" s="161">
        <v>806</v>
      </c>
      <c r="BK10" s="97"/>
      <c r="BL10" s="97"/>
      <c r="BM10" s="97"/>
      <c r="BN10" s="97"/>
    </row>
    <row r="11" spans="1:66" ht="12.75">
      <c r="A11" s="79" t="s">
        <v>365</v>
      </c>
      <c r="B11" s="79" t="s">
        <v>65</v>
      </c>
      <c r="C11" s="79" t="s">
        <v>360</v>
      </c>
      <c r="D11" s="99">
        <v>2167</v>
      </c>
      <c r="E11" s="99">
        <v>256</v>
      </c>
      <c r="F11" s="99" t="s">
        <v>84</v>
      </c>
      <c r="G11" s="99" t="s">
        <v>738</v>
      </c>
      <c r="H11" s="99" t="s">
        <v>738</v>
      </c>
      <c r="I11" s="99">
        <v>33</v>
      </c>
      <c r="J11" s="99">
        <v>169</v>
      </c>
      <c r="K11" s="99" t="s">
        <v>738</v>
      </c>
      <c r="L11" s="99">
        <v>410</v>
      </c>
      <c r="M11" s="99">
        <v>78</v>
      </c>
      <c r="N11" s="99">
        <v>44</v>
      </c>
      <c r="O11" s="99">
        <v>7</v>
      </c>
      <c r="P11" s="158">
        <v>7</v>
      </c>
      <c r="Q11" s="99" t="s">
        <v>738</v>
      </c>
      <c r="R11" s="99" t="s">
        <v>738</v>
      </c>
      <c r="S11" s="99" t="s">
        <v>738</v>
      </c>
      <c r="T11" s="99" t="s">
        <v>738</v>
      </c>
      <c r="U11" s="99" t="s">
        <v>738</v>
      </c>
      <c r="V11" s="99" t="s">
        <v>738</v>
      </c>
      <c r="W11" s="99">
        <v>11</v>
      </c>
      <c r="X11" s="99">
        <v>6</v>
      </c>
      <c r="Y11" s="99">
        <v>18</v>
      </c>
      <c r="Z11" s="99">
        <v>8</v>
      </c>
      <c r="AA11" s="99" t="s">
        <v>738</v>
      </c>
      <c r="AB11" s="99" t="s">
        <v>738</v>
      </c>
      <c r="AC11" s="99" t="s">
        <v>738</v>
      </c>
      <c r="AD11" s="98" t="s">
        <v>66</v>
      </c>
      <c r="AE11" s="100">
        <v>0.11813567143516382</v>
      </c>
      <c r="AF11" s="100">
        <v>0.16</v>
      </c>
      <c r="AG11" s="98" t="s">
        <v>738</v>
      </c>
      <c r="AH11" s="98" t="s">
        <v>738</v>
      </c>
      <c r="AI11" s="100">
        <v>0.0152</v>
      </c>
      <c r="AJ11" s="100">
        <v>0.707113</v>
      </c>
      <c r="AK11" s="100" t="s">
        <v>738</v>
      </c>
      <c r="AL11" s="100">
        <v>0.836735</v>
      </c>
      <c r="AM11" s="100">
        <v>0.445714</v>
      </c>
      <c r="AN11" s="100">
        <v>0.423077</v>
      </c>
      <c r="AO11" s="98">
        <v>323.0272265805261</v>
      </c>
      <c r="AP11" s="157">
        <v>0.1867</v>
      </c>
      <c r="AQ11" s="100" t="s">
        <v>738</v>
      </c>
      <c r="AR11" s="100" t="s">
        <v>738</v>
      </c>
      <c r="AS11" s="98" t="s">
        <v>738</v>
      </c>
      <c r="AT11" s="98" t="s">
        <v>738</v>
      </c>
      <c r="AU11" s="98" t="s">
        <v>738</v>
      </c>
      <c r="AV11" s="98" t="s">
        <v>738</v>
      </c>
      <c r="AW11" s="98">
        <v>507.61421319796955</v>
      </c>
      <c r="AX11" s="98">
        <v>276.8804799261652</v>
      </c>
      <c r="AY11" s="98">
        <v>830.6414397784956</v>
      </c>
      <c r="AZ11" s="98">
        <v>369.17397323488694</v>
      </c>
      <c r="BA11" s="100" t="s">
        <v>738</v>
      </c>
      <c r="BB11" s="100" t="s">
        <v>738</v>
      </c>
      <c r="BC11" s="100" t="s">
        <v>738</v>
      </c>
      <c r="BD11" s="157">
        <v>0.0751</v>
      </c>
      <c r="BE11" s="157">
        <v>0.3847</v>
      </c>
      <c r="BF11" s="161">
        <v>239</v>
      </c>
      <c r="BG11" s="161" t="s">
        <v>738</v>
      </c>
      <c r="BH11" s="161">
        <v>490</v>
      </c>
      <c r="BI11" s="161">
        <v>175</v>
      </c>
      <c r="BJ11" s="161">
        <v>104</v>
      </c>
      <c r="BK11" s="97"/>
      <c r="BL11" s="97"/>
      <c r="BM11" s="97"/>
      <c r="BN11" s="97"/>
    </row>
    <row r="12" spans="1:66" ht="12.75">
      <c r="A12" s="79" t="s">
        <v>362</v>
      </c>
      <c r="B12" s="79" t="s">
        <v>59</v>
      </c>
      <c r="C12" s="79" t="s">
        <v>360</v>
      </c>
      <c r="D12" s="99">
        <v>7143</v>
      </c>
      <c r="E12" s="99">
        <v>1420</v>
      </c>
      <c r="F12" s="99" t="s">
        <v>86</v>
      </c>
      <c r="G12" s="99">
        <v>49</v>
      </c>
      <c r="H12" s="99">
        <v>11</v>
      </c>
      <c r="I12" s="99">
        <v>178</v>
      </c>
      <c r="J12" s="99">
        <v>709</v>
      </c>
      <c r="K12" s="99">
        <v>693</v>
      </c>
      <c r="L12" s="99">
        <v>1353</v>
      </c>
      <c r="M12" s="99">
        <v>502</v>
      </c>
      <c r="N12" s="99">
        <v>241</v>
      </c>
      <c r="O12" s="99">
        <v>129</v>
      </c>
      <c r="P12" s="158">
        <v>129</v>
      </c>
      <c r="Q12" s="99">
        <v>14</v>
      </c>
      <c r="R12" s="99">
        <v>36</v>
      </c>
      <c r="S12" s="99" t="s">
        <v>738</v>
      </c>
      <c r="T12" s="99">
        <v>23</v>
      </c>
      <c r="U12" s="99" t="s">
        <v>738</v>
      </c>
      <c r="V12" s="99">
        <v>16</v>
      </c>
      <c r="W12" s="99">
        <v>46</v>
      </c>
      <c r="X12" s="99">
        <v>29</v>
      </c>
      <c r="Y12" s="99">
        <v>109</v>
      </c>
      <c r="Z12" s="99">
        <v>47</v>
      </c>
      <c r="AA12" s="99">
        <v>9</v>
      </c>
      <c r="AB12" s="99">
        <v>17</v>
      </c>
      <c r="AC12" s="99">
        <v>12</v>
      </c>
      <c r="AD12" s="98" t="s">
        <v>66</v>
      </c>
      <c r="AE12" s="100">
        <v>0.1987960240795184</v>
      </c>
      <c r="AF12" s="100">
        <v>0.06</v>
      </c>
      <c r="AG12" s="98">
        <v>685.9862802743945</v>
      </c>
      <c r="AH12" s="98">
        <v>153.99692006159876</v>
      </c>
      <c r="AI12" s="100">
        <v>0.024900000000000002</v>
      </c>
      <c r="AJ12" s="100">
        <v>0.789532</v>
      </c>
      <c r="AK12" s="100">
        <v>0.780405</v>
      </c>
      <c r="AL12" s="100">
        <v>0.784803</v>
      </c>
      <c r="AM12" s="100">
        <v>0.616708</v>
      </c>
      <c r="AN12" s="100">
        <v>0.598015</v>
      </c>
      <c r="AO12" s="98">
        <v>1805.9638807223855</v>
      </c>
      <c r="AP12" s="157">
        <v>0.8273999999999999</v>
      </c>
      <c r="AQ12" s="100">
        <v>0.10852713178294573</v>
      </c>
      <c r="AR12" s="100">
        <v>0.3888888888888889</v>
      </c>
      <c r="AS12" s="98" t="s">
        <v>738</v>
      </c>
      <c r="AT12" s="98">
        <v>321.9935601287974</v>
      </c>
      <c r="AU12" s="98" t="s">
        <v>738</v>
      </c>
      <c r="AV12" s="98">
        <v>223.99552008959822</v>
      </c>
      <c r="AW12" s="98">
        <v>643.9871202575948</v>
      </c>
      <c r="AX12" s="98">
        <v>405.99188016239674</v>
      </c>
      <c r="AY12" s="98">
        <v>1525.9694806103878</v>
      </c>
      <c r="AZ12" s="98">
        <v>657.9868402631947</v>
      </c>
      <c r="BA12" s="100">
        <v>0.23684210526315788</v>
      </c>
      <c r="BB12" s="100">
        <v>0.4473684210526316</v>
      </c>
      <c r="BC12" s="100">
        <v>0.3157894736842105</v>
      </c>
      <c r="BD12" s="157">
        <v>0.6908</v>
      </c>
      <c r="BE12" s="157">
        <v>0.9831</v>
      </c>
      <c r="BF12" s="161">
        <v>898</v>
      </c>
      <c r="BG12" s="161">
        <v>888</v>
      </c>
      <c r="BH12" s="161">
        <v>1724</v>
      </c>
      <c r="BI12" s="161">
        <v>814</v>
      </c>
      <c r="BJ12" s="161">
        <v>403</v>
      </c>
      <c r="BK12" s="97"/>
      <c r="BL12" s="97"/>
      <c r="BM12" s="97"/>
      <c r="BN12" s="97"/>
    </row>
    <row r="13" spans="1:66" ht="12.75">
      <c r="A13" s="79" t="s">
        <v>670</v>
      </c>
      <c r="B13" s="94" t="s">
        <v>360</v>
      </c>
      <c r="C13" s="94" t="s">
        <v>7</v>
      </c>
      <c r="D13" s="99">
        <v>90403</v>
      </c>
      <c r="E13" s="99">
        <v>15401</v>
      </c>
      <c r="F13" s="99">
        <v>5863.34</v>
      </c>
      <c r="G13" s="99">
        <v>443</v>
      </c>
      <c r="H13" s="99">
        <v>197</v>
      </c>
      <c r="I13" s="99">
        <v>1806</v>
      </c>
      <c r="J13" s="99">
        <v>8680</v>
      </c>
      <c r="K13" s="99">
        <v>4014</v>
      </c>
      <c r="L13" s="99">
        <v>17454</v>
      </c>
      <c r="M13" s="99">
        <v>6039</v>
      </c>
      <c r="N13" s="99">
        <v>3122</v>
      </c>
      <c r="O13" s="99">
        <v>1450</v>
      </c>
      <c r="P13" s="99">
        <v>1450</v>
      </c>
      <c r="Q13" s="99">
        <v>170</v>
      </c>
      <c r="R13" s="99">
        <v>433</v>
      </c>
      <c r="S13" s="99">
        <v>371</v>
      </c>
      <c r="T13" s="99">
        <v>245</v>
      </c>
      <c r="U13" s="99">
        <v>20</v>
      </c>
      <c r="V13" s="99">
        <v>288</v>
      </c>
      <c r="W13" s="99">
        <v>630</v>
      </c>
      <c r="X13" s="99">
        <v>459</v>
      </c>
      <c r="Y13" s="99">
        <v>972</v>
      </c>
      <c r="Z13" s="99">
        <v>473</v>
      </c>
      <c r="AA13" s="99">
        <v>75</v>
      </c>
      <c r="AB13" s="99">
        <v>184</v>
      </c>
      <c r="AC13" s="99">
        <v>131</v>
      </c>
      <c r="AD13" s="98">
        <v>0</v>
      </c>
      <c r="AE13" s="101">
        <v>0.1703593907281838</v>
      </c>
      <c r="AF13" s="101">
        <v>0.06485780339148037</v>
      </c>
      <c r="AG13" s="98">
        <v>490.02798579693155</v>
      </c>
      <c r="AH13" s="98">
        <v>217.91312235213434</v>
      </c>
      <c r="AI13" s="101">
        <v>0.01997721314558145</v>
      </c>
      <c r="AJ13" s="101">
        <v>0.764555624064124</v>
      </c>
      <c r="AK13" s="101">
        <v>0.7542277339346111</v>
      </c>
      <c r="AL13" s="101">
        <v>0.7688309400052858</v>
      </c>
      <c r="AM13" s="101">
        <v>0.6036585365853658</v>
      </c>
      <c r="AN13" s="101">
        <v>0.5885014137606032</v>
      </c>
      <c r="AO13" s="98">
        <v>1603.9290731502274</v>
      </c>
      <c r="AP13" s="98">
        <v>0</v>
      </c>
      <c r="AQ13" s="101">
        <v>0.11724137931034483</v>
      </c>
      <c r="AR13" s="101">
        <v>0.39260969976905313</v>
      </c>
      <c r="AS13" s="98">
        <v>410.3846111301616</v>
      </c>
      <c r="AT13" s="98">
        <v>271.00870546331424</v>
      </c>
      <c r="AU13" s="98">
        <v>22.123159629658307</v>
      </c>
      <c r="AV13" s="98">
        <v>318.5734986670796</v>
      </c>
      <c r="AW13" s="98">
        <v>696.8795283342367</v>
      </c>
      <c r="AX13" s="98">
        <v>507.72651350065814</v>
      </c>
      <c r="AY13" s="98">
        <v>1075.1855580013937</v>
      </c>
      <c r="AZ13" s="98">
        <v>523.212725241419</v>
      </c>
      <c r="BA13" s="101">
        <v>0.19230769230769232</v>
      </c>
      <c r="BB13" s="101">
        <v>0.4717948717948718</v>
      </c>
      <c r="BC13" s="101">
        <v>0.33589743589743587</v>
      </c>
      <c r="BD13" s="98">
        <v>0</v>
      </c>
      <c r="BE13" s="98">
        <v>0</v>
      </c>
      <c r="BF13" s="99">
        <v>11353</v>
      </c>
      <c r="BG13" s="99">
        <v>5322</v>
      </c>
      <c r="BH13" s="99">
        <v>22702</v>
      </c>
      <c r="BI13" s="99">
        <v>10004</v>
      </c>
      <c r="BJ13" s="99">
        <v>5305</v>
      </c>
      <c r="BK13" s="97"/>
      <c r="BL13" s="97"/>
      <c r="BM13" s="97"/>
      <c r="BN13" s="97"/>
    </row>
    <row r="14" spans="1:66" ht="12.75">
      <c r="A14" s="79" t="s">
        <v>24</v>
      </c>
      <c r="B14" s="94" t="s">
        <v>7</v>
      </c>
      <c r="C14" s="94" t="s">
        <v>7</v>
      </c>
      <c r="D14" s="99">
        <v>55165362</v>
      </c>
      <c r="E14" s="99">
        <v>9048994</v>
      </c>
      <c r="F14" s="99">
        <v>8305264.179999999</v>
      </c>
      <c r="G14" s="99">
        <v>259770</v>
      </c>
      <c r="H14" s="99">
        <v>128954</v>
      </c>
      <c r="I14" s="99">
        <v>978426</v>
      </c>
      <c r="J14" s="99">
        <v>4727163</v>
      </c>
      <c r="K14" s="99">
        <v>1693161</v>
      </c>
      <c r="L14" s="99">
        <v>10175535</v>
      </c>
      <c r="M14" s="99">
        <v>3358821</v>
      </c>
      <c r="N14" s="99">
        <v>1654961</v>
      </c>
      <c r="O14" s="99">
        <v>1093346</v>
      </c>
      <c r="P14" s="99">
        <v>1093346</v>
      </c>
      <c r="Q14" s="99">
        <v>115539</v>
      </c>
      <c r="R14" s="99">
        <v>248587</v>
      </c>
      <c r="S14" s="99">
        <v>205061</v>
      </c>
      <c r="T14" s="99">
        <v>184806</v>
      </c>
      <c r="U14" s="99">
        <v>42802</v>
      </c>
      <c r="V14" s="99">
        <v>192402</v>
      </c>
      <c r="W14" s="99">
        <v>343839</v>
      </c>
      <c r="X14" s="99">
        <v>238616</v>
      </c>
      <c r="Y14" s="99">
        <v>553576</v>
      </c>
      <c r="Z14" s="99">
        <v>323780</v>
      </c>
      <c r="AA14" s="99">
        <v>58003</v>
      </c>
      <c r="AB14" s="99">
        <v>120283</v>
      </c>
      <c r="AC14" s="99">
        <v>66239</v>
      </c>
      <c r="AD14" s="98">
        <v>0</v>
      </c>
      <c r="AE14" s="101">
        <v>0.16403398204837302</v>
      </c>
      <c r="AF14" s="101">
        <v>0.1505521558981159</v>
      </c>
      <c r="AG14" s="98">
        <v>470.8933116400106</v>
      </c>
      <c r="AH14" s="98">
        <v>233.75900261472046</v>
      </c>
      <c r="AI14" s="101">
        <v>0.017736238185113332</v>
      </c>
      <c r="AJ14" s="101">
        <v>0.7246856648259642</v>
      </c>
      <c r="AK14" s="101">
        <v>0.7425503147315781</v>
      </c>
      <c r="AL14" s="101">
        <v>0.7530641252748632</v>
      </c>
      <c r="AM14" s="101">
        <v>0.5744521249276766</v>
      </c>
      <c r="AN14" s="101">
        <v>0.5565049054289257</v>
      </c>
      <c r="AO14" s="98">
        <v>1981.9429445600304</v>
      </c>
      <c r="AP14" s="98">
        <v>1</v>
      </c>
      <c r="AQ14" s="101">
        <v>0.10567469035419712</v>
      </c>
      <c r="AR14" s="101">
        <v>0.46478295325177904</v>
      </c>
      <c r="AS14" s="98">
        <v>371.7205735004512</v>
      </c>
      <c r="AT14" s="98">
        <v>335.00369307827617</v>
      </c>
      <c r="AU14" s="98">
        <v>77.58854188249504</v>
      </c>
      <c r="AV14" s="98">
        <v>348.7732030109763</v>
      </c>
      <c r="AW14" s="98">
        <v>623.2878522577265</v>
      </c>
      <c r="AX14" s="98">
        <v>432.5467854266958</v>
      </c>
      <c r="AY14" s="98">
        <v>1003.4847591501348</v>
      </c>
      <c r="AZ14" s="98">
        <v>586.9262672471904</v>
      </c>
      <c r="BA14" s="101">
        <v>0.2372068295675289</v>
      </c>
      <c r="BB14" s="101">
        <v>0.4919047132195072</v>
      </c>
      <c r="BC14" s="101">
        <v>0.2708884572129639</v>
      </c>
      <c r="BD14" s="98">
        <v>0</v>
      </c>
      <c r="BE14" s="98">
        <v>0</v>
      </c>
      <c r="BF14" s="99">
        <v>6523053</v>
      </c>
      <c r="BG14" s="99">
        <v>2280197</v>
      </c>
      <c r="BH14" s="99">
        <v>13512176</v>
      </c>
      <c r="BI14" s="99">
        <v>5846999</v>
      </c>
      <c r="BJ14" s="99">
        <v>2973848</v>
      </c>
      <c r="BK14" s="97"/>
      <c r="BL14" s="97"/>
      <c r="BM14" s="97"/>
      <c r="BN14" s="97"/>
    </row>
    <row r="15" spans="1:66" ht="12.75">
      <c r="A15" s="8"/>
      <c r="B15" s="8"/>
      <c r="C15" s="8"/>
      <c r="D15" s="293"/>
      <c r="E15" s="293"/>
      <c r="F15" s="293"/>
      <c r="G15" s="293"/>
      <c r="H15" s="293"/>
      <c r="I15" s="293"/>
      <c r="J15" s="293"/>
      <c r="K15" s="293"/>
      <c r="L15" s="293"/>
      <c r="M15" s="293"/>
      <c r="N15" s="293"/>
      <c r="O15" s="293"/>
      <c r="P15" s="294"/>
      <c r="Q15" s="293"/>
      <c r="R15" s="293"/>
      <c r="S15" s="293"/>
      <c r="T15" s="293"/>
      <c r="U15" s="293"/>
      <c r="V15" s="293"/>
      <c r="W15" s="293"/>
      <c r="X15" s="293"/>
      <c r="Y15" s="293"/>
      <c r="Z15" s="293"/>
      <c r="AA15" s="293"/>
      <c r="AB15" s="293"/>
      <c r="AC15" s="293"/>
      <c r="AD15" s="289"/>
      <c r="AE15" s="295"/>
      <c r="AF15" s="295"/>
      <c r="AG15" s="289"/>
      <c r="AH15" s="289"/>
      <c r="AI15" s="295"/>
      <c r="AJ15" s="295"/>
      <c r="AK15" s="295"/>
      <c r="AL15" s="295"/>
      <c r="AM15" s="295"/>
      <c r="AN15" s="295"/>
      <c r="AO15" s="289"/>
      <c r="AP15" s="290"/>
      <c r="AQ15" s="295"/>
      <c r="AR15" s="295"/>
      <c r="AS15" s="289"/>
      <c r="AT15" s="289"/>
      <c r="AU15" s="289"/>
      <c r="AV15" s="289"/>
      <c r="AW15" s="289"/>
      <c r="AX15" s="289"/>
      <c r="AY15" s="289"/>
      <c r="AZ15" s="289"/>
      <c r="BA15" s="295"/>
      <c r="BB15" s="295"/>
      <c r="BC15" s="295"/>
      <c r="BD15" s="290"/>
      <c r="BE15" s="290"/>
      <c r="BF15" s="291"/>
      <c r="BG15" s="291"/>
      <c r="BH15" s="291"/>
      <c r="BI15" s="291"/>
      <c r="BJ15" s="291"/>
      <c r="BK15" s="97"/>
      <c r="BL15" s="97"/>
      <c r="BM15" s="97"/>
      <c r="BN15" s="97"/>
    </row>
    <row r="16" spans="1:66" ht="12.75">
      <c r="A16" s="8"/>
      <c r="B16" s="8"/>
      <c r="C16" s="8"/>
      <c r="D16" s="293"/>
      <c r="E16" s="293"/>
      <c r="F16" s="293"/>
      <c r="G16" s="293"/>
      <c r="H16" s="293"/>
      <c r="I16" s="293"/>
      <c r="J16" s="293"/>
      <c r="K16" s="293"/>
      <c r="L16" s="293"/>
      <c r="M16" s="293"/>
      <c r="N16" s="293"/>
      <c r="O16" s="293"/>
      <c r="P16" s="294"/>
      <c r="Q16" s="293"/>
      <c r="R16" s="293"/>
      <c r="S16" s="293"/>
      <c r="T16" s="293"/>
      <c r="U16" s="293"/>
      <c r="V16" s="293"/>
      <c r="W16" s="293"/>
      <c r="X16" s="293"/>
      <c r="Y16" s="293"/>
      <c r="Z16" s="293"/>
      <c r="AA16" s="293"/>
      <c r="AB16" s="293"/>
      <c r="AC16" s="293"/>
      <c r="AD16" s="289"/>
      <c r="AE16" s="295"/>
      <c r="AF16" s="295"/>
      <c r="AG16" s="289"/>
      <c r="AH16" s="289"/>
      <c r="AI16" s="295"/>
      <c r="AJ16" s="295"/>
      <c r="AK16" s="295"/>
      <c r="AL16" s="295"/>
      <c r="AM16" s="295"/>
      <c r="AN16" s="295"/>
      <c r="AO16" s="289"/>
      <c r="AP16" s="290"/>
      <c r="AQ16" s="295"/>
      <c r="AR16" s="295"/>
      <c r="AS16" s="289"/>
      <c r="AT16" s="289"/>
      <c r="AU16" s="289"/>
      <c r="AV16" s="289"/>
      <c r="AW16" s="289"/>
      <c r="AX16" s="289"/>
      <c r="AY16" s="289"/>
      <c r="AZ16" s="289"/>
      <c r="BA16" s="295"/>
      <c r="BB16" s="295"/>
      <c r="BC16" s="295"/>
      <c r="BD16" s="290"/>
      <c r="BE16" s="290"/>
      <c r="BF16" s="291"/>
      <c r="BG16" s="291"/>
      <c r="BH16" s="291"/>
      <c r="BI16" s="291"/>
      <c r="BJ16" s="291"/>
      <c r="BK16" s="97"/>
      <c r="BL16" s="97"/>
      <c r="BM16" s="97"/>
      <c r="BN16" s="97"/>
    </row>
    <row r="17" spans="1:66" ht="12.75">
      <c r="A17" s="8"/>
      <c r="B17" s="8"/>
      <c r="C17" s="8"/>
      <c r="D17" s="293"/>
      <c r="E17" s="293"/>
      <c r="F17" s="293"/>
      <c r="G17" s="293"/>
      <c r="H17" s="293"/>
      <c r="I17" s="293"/>
      <c r="J17" s="293"/>
      <c r="K17" s="293"/>
      <c r="L17" s="293"/>
      <c r="M17" s="293"/>
      <c r="N17" s="293"/>
      <c r="O17" s="293"/>
      <c r="P17" s="294"/>
      <c r="Q17" s="293"/>
      <c r="R17" s="293"/>
      <c r="S17" s="293"/>
      <c r="T17" s="293"/>
      <c r="U17" s="293"/>
      <c r="V17" s="293"/>
      <c r="W17" s="293"/>
      <c r="X17" s="293"/>
      <c r="Y17" s="293"/>
      <c r="Z17" s="293"/>
      <c r="AA17" s="293"/>
      <c r="AB17" s="293"/>
      <c r="AC17" s="293"/>
      <c r="AD17" s="289"/>
      <c r="AE17" s="295"/>
      <c r="AF17" s="295"/>
      <c r="AG17" s="289"/>
      <c r="AH17" s="289"/>
      <c r="AI17" s="295"/>
      <c r="AJ17" s="295"/>
      <c r="AK17" s="295"/>
      <c r="AL17" s="295"/>
      <c r="AM17" s="295"/>
      <c r="AN17" s="295"/>
      <c r="AO17" s="289"/>
      <c r="AP17" s="290"/>
      <c r="AQ17" s="295"/>
      <c r="AR17" s="295"/>
      <c r="AS17" s="289"/>
      <c r="AT17" s="289"/>
      <c r="AU17" s="289"/>
      <c r="AV17" s="289"/>
      <c r="AW17" s="289"/>
      <c r="AX17" s="289"/>
      <c r="AY17" s="289"/>
      <c r="AZ17" s="289"/>
      <c r="BA17" s="295"/>
      <c r="BB17" s="295"/>
      <c r="BC17" s="295"/>
      <c r="BD17" s="290"/>
      <c r="BE17" s="290"/>
      <c r="BF17" s="291"/>
      <c r="BG17" s="291"/>
      <c r="BH17" s="291"/>
      <c r="BI17" s="291"/>
      <c r="BJ17" s="291"/>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6"/>
      <c r="BB31" s="296"/>
      <c r="BC31" s="296"/>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71</v>
      </c>
      <c r="O4" s="75" t="s">
        <v>70</v>
      </c>
      <c r="P4" s="75" t="s">
        <v>119</v>
      </c>
      <c r="Q4" s="75" t="s">
        <v>120</v>
      </c>
      <c r="R4" s="75" t="s">
        <v>121</v>
      </c>
      <c r="S4" s="75" t="s">
        <v>122</v>
      </c>
      <c r="T4" s="39" t="s">
        <v>53</v>
      </c>
      <c r="U4" s="40" t="s">
        <v>54</v>
      </c>
      <c r="V4" s="41" t="s">
        <v>7</v>
      </c>
      <c r="W4" s="24" t="s">
        <v>2</v>
      </c>
      <c r="X4" s="24" t="s">
        <v>3</v>
      </c>
      <c r="Y4" s="75" t="s">
        <v>168</v>
      </c>
      <c r="Z4" s="75" t="s">
        <v>167</v>
      </c>
      <c r="AA4" s="26" t="s">
        <v>55</v>
      </c>
      <c r="AB4" s="24" t="s">
        <v>5</v>
      </c>
      <c r="AC4" s="75" t="s">
        <v>35</v>
      </c>
      <c r="AD4" s="24" t="s">
        <v>6</v>
      </c>
      <c r="AE4" s="24" t="s">
        <v>56</v>
      </c>
      <c r="AF4" s="24" t="s">
        <v>16</v>
      </c>
      <c r="AG4" s="24" t="s">
        <v>15</v>
      </c>
      <c r="AH4" s="24" t="s">
        <v>14</v>
      </c>
      <c r="AI4" s="25" t="s">
        <v>30</v>
      </c>
      <c r="AJ4" s="47" t="s">
        <v>10</v>
      </c>
      <c r="AK4" s="26" t="s">
        <v>21</v>
      </c>
      <c r="AL4" s="25" t="s">
        <v>22</v>
      </c>
      <c r="AQ4" s="102" t="s">
        <v>109</v>
      </c>
      <c r="AR4" s="102" t="s">
        <v>111</v>
      </c>
      <c r="AS4" s="102" t="s">
        <v>110</v>
      </c>
      <c r="AY4" s="102" t="s">
        <v>714</v>
      </c>
      <c r="AZ4" s="102" t="s">
        <v>715</v>
      </c>
      <c r="BA4" s="102" t="s">
        <v>118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316</v>
      </c>
      <c r="AZ5" s="103" t="s">
        <v>503</v>
      </c>
      <c r="BA5" s="103" t="s">
        <v>66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315</v>
      </c>
      <c r="AZ6" s="103" t="s">
        <v>504</v>
      </c>
      <c r="BA6" s="103" t="s">
        <v>66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1802</v>
      </c>
      <c r="E7" s="38">
        <f>IF(LEFT(VLOOKUP($B7,'Indicator chart'!$D$1:$J$36,5,FALSE),1)=" "," ",VLOOKUP($B7,'Indicator chart'!$D$1:$J$36,5,FALSE))</f>
        <v>0.173971809229581</v>
      </c>
      <c r="F7" s="38">
        <f>IF(LEFT(VLOOKUP($B7,'Indicator chart'!$D$1:$J$36,6,FALSE),1)=" "," ",VLOOKUP($B7,'Indicator chart'!$D$1:$J$36,6,FALSE))</f>
        <v>0.166792495082578</v>
      </c>
      <c r="G7" s="38">
        <f>IF(LEFT(VLOOKUP($B7,'Indicator chart'!$D$1:$J$36,7,FALSE),1)=" "," ",VLOOKUP($B7,'Indicator chart'!$D$1:$J$36,7,FALSE))</f>
        <v>0.18139286995909568</v>
      </c>
      <c r="H7" s="50">
        <f aca="true" t="shared" si="0" ref="H7:H31">IF(LEFT(F7,1)=" ",4,IF(AND(ABS(N7-E7)&gt;SQRT((E7-G7)^2+(N7-R7)^2),E7&lt;N7),1,IF(AND(ABS(N7-E7)&gt;SQRT((E7-F7)^2+(N7-S7)^2),E7&gt;N7),3,2)))</f>
        <v>2</v>
      </c>
      <c r="I7" s="300" t="s">
        <v>417</v>
      </c>
      <c r="J7" s="300" t="s">
        <v>427</v>
      </c>
      <c r="K7" s="300" t="s">
        <v>445</v>
      </c>
      <c r="L7" s="300" t="s">
        <v>463</v>
      </c>
      <c r="M7" s="300" t="s">
        <v>482</v>
      </c>
      <c r="N7" s="80">
        <f>VLOOKUP('Hide - Control'!B$3,'All practice data'!A:CA,A7+29,FALSE)</f>
        <v>0.1703593907281838</v>
      </c>
      <c r="O7" s="80">
        <f>VLOOKUP('Hide - Control'!C$3,'All practice data'!A:CA,A7+29,FALSE)</f>
        <v>0.16403398204837302</v>
      </c>
      <c r="P7" s="38">
        <f>VLOOKUP('Hide - Control'!$B$4,'All practice data'!B:BC,A7+2,FALSE)</f>
        <v>15401</v>
      </c>
      <c r="Q7" s="38">
        <f>VLOOKUP('Hide - Control'!$B$4,'All practice data'!B:BC,3,FALSE)</f>
        <v>90403</v>
      </c>
      <c r="R7" s="38">
        <f>+((2*P7+1.96^2-1.96*SQRT(1.96^2+4*P7*(1-P7/Q7)))/(2*(Q7+1.96^2)))</f>
        <v>0.16792269564548487</v>
      </c>
      <c r="S7" s="38">
        <f>+((2*P7+1.96^2+1.96*SQRT(1.96^2+4*P7*(1-P7/Q7)))/(2*(Q7+1.96^2)))</f>
        <v>0.17282410022532674</v>
      </c>
      <c r="T7" s="53" t="str">
        <f>IF($C7=1,M7,I7)</f>
        <v>0.200207918</v>
      </c>
      <c r="U7" s="51" t="str">
        <f aca="true" t="shared" si="1" ref="U7:U15">IF($C7=1,I7,M7)</f>
        <v>0.118135671</v>
      </c>
      <c r="V7" s="7">
        <v>1</v>
      </c>
      <c r="W7" s="27" t="str">
        <f aca="true" t="shared" si="2" ref="W7:W31">IF((K7-I7)&gt;(M7-K7),I7,(K7-(M7-K7)))</f>
        <v>0.118135671</v>
      </c>
      <c r="X7" s="27">
        <f aca="true" t="shared" si="3" ref="X7:X31">IF(W7=I7,K7+(K7-I7),M7)</f>
        <v>0.217065075</v>
      </c>
      <c r="Y7" s="27" t="str">
        <f aca="true" t="shared" si="4" ref="Y7:Y31">IF(C7=1,W7,X7)</f>
        <v>0.118135671</v>
      </c>
      <c r="Z7" s="27">
        <f aca="true" t="shared" si="5" ref="Z7:Z31">IF(C7=1,X7,W7)</f>
        <v>0.217065075</v>
      </c>
      <c r="AA7" s="32">
        <f aca="true" t="shared" si="6" ref="AA7:AA31">IF(ISERROR(IF(C7=1,(I7-$Y7)/($Z7-$Y7),(U7-$Y7)/($Z7-$Y7))),"",IF(C7=1,(I7-$Y7)/($Z7-$Y7),(U7-$Y7)/($Z7-$Y7)))</f>
        <v>0</v>
      </c>
      <c r="AB7" s="33">
        <f aca="true" t="shared" si="7" ref="AB7:AB31">IF(ISERROR(IF(C7=1,(J7-$Y7)/($Z7-$Y7),(L7-$Y7)/($Z7-$Y7))),"",IF(C7=1,(J7-$Y7)/($Z7-$Y7),(L7-$Y7)/($Z7-$Y7)))</f>
        <v>0.37586097253754824</v>
      </c>
      <c r="AC7" s="33">
        <v>0.5</v>
      </c>
      <c r="AD7" s="33">
        <f aca="true" t="shared" si="8" ref="AD7:AD31">IF(ISERROR(IF(C7=1,(L7-$Y7)/($Z7-$Y7),(J7-$Y7)/($Z7-$Y7))),"",IF(C7=1,(L7-$Y7)/($Z7-$Y7),(J7-$Y7)/($Z7-$Y7)))</f>
        <v>0.5644038652047273</v>
      </c>
      <c r="AE7" s="33">
        <f aca="true" t="shared" si="9" ref="AE7:AE31">IF(ISERROR(IF(C7=1,(M7-$Y7)/($Z7-$Y7),(I7-$Y7)/($Z7-$Y7))),"",IF(C7=1,(M7-$Y7)/($Z7-$Y7),(I7-$Y7)/($Z7-$Y7)))</f>
        <v>0.8296041791578974</v>
      </c>
      <c r="AF7" s="33">
        <f aca="true" t="shared" si="10" ref="AF7:AF30">IF(E7=" ",-999,IF(H7=4,(E7-$Y7)/($Z7-$Y7),-999))</f>
        <v>-999</v>
      </c>
      <c r="AG7" s="33">
        <f aca="true" t="shared" si="11" ref="AG7:AG31">IF(E7=" ",-999,IF(H7=2,(E7-$Y7)/($Z7-$Y7),-999))</f>
        <v>0.5644038675253821</v>
      </c>
      <c r="AH7" s="33">
        <f aca="true" t="shared" si="12" ref="AH7:AH31">IF(E7=" ",-999,IF(MAX(AK7:AL7)&gt;-999,MAX(AK7:AL7),-999))</f>
        <v>-999</v>
      </c>
      <c r="AI7" s="34">
        <f aca="true" t="shared" si="13" ref="AI7:AI31">IF(ISERROR((O7-$Y7)/($Z7-$Y7)),-999,(O7-$Y7)/($Z7-$Y7))</f>
        <v>0.4639501421475563</v>
      </c>
      <c r="AJ7" s="4">
        <v>2.7020512924389086</v>
      </c>
      <c r="AK7" s="32">
        <f aca="true" t="shared" si="14" ref="AK7:AK31">IF(H7=1,(E7-$Y7)/($Z7-$Y7),-999)</f>
        <v>-999</v>
      </c>
      <c r="AL7" s="34">
        <f aca="true" t="shared" si="15" ref="AL7:AL31">IF(H7=3,(E7-$Y7)/($Z7-$Y7),-999)</f>
        <v>-999</v>
      </c>
      <c r="AQ7" s="103">
        <v>2</v>
      </c>
      <c r="AR7" s="103">
        <v>0.2422</v>
      </c>
      <c r="AS7" s="103">
        <v>7.2247</v>
      </c>
      <c r="AY7" s="103" t="s">
        <v>306</v>
      </c>
      <c r="AZ7" s="103" t="s">
        <v>505</v>
      </c>
      <c r="BA7" s="103" t="s">
        <v>66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0.03</v>
      </c>
      <c r="F8" s="38">
        <f>IF(LEFT(VLOOKUP($B8,'Indicator chart'!$D$1:$J$36,6,FALSE),1)=" "," ",VLOOKUP($B8,'Indicator chart'!$D$1:$J$36,6,FALSE))</f>
        <v>0.026885019209502505</v>
      </c>
      <c r="G8" s="38">
        <f>IF(LEFT(VLOOKUP($B8,'Indicator chart'!$D$1:$J$36,7,FALSE),1)=" "," ",VLOOKUP($B8,'Indicator chart'!$D$1:$J$36,7,FALSE))</f>
        <v>0.03346348100304658</v>
      </c>
      <c r="H8" s="50">
        <f t="shared" si="0"/>
        <v>1</v>
      </c>
      <c r="I8" s="300" t="s">
        <v>412</v>
      </c>
      <c r="J8" s="300" t="s">
        <v>398</v>
      </c>
      <c r="K8" s="300" t="s">
        <v>398</v>
      </c>
      <c r="L8" s="300" t="s">
        <v>390</v>
      </c>
      <c r="M8" s="300" t="s">
        <v>397</v>
      </c>
      <c r="N8" s="80">
        <f>VLOOKUP('Hide - Control'!B$3,'All practice data'!A:CA,A8+29,FALSE)</f>
        <v>0.06485780339148037</v>
      </c>
      <c r="O8" s="80">
        <f>VLOOKUP('Hide - Control'!C$3,'All practice data'!A:CA,A8+29,FALSE)</f>
        <v>0.1505521558981159</v>
      </c>
      <c r="P8" s="38">
        <f>VLOOKUP('Hide - Control'!$B$4,'All practice data'!B:BC,A8+2,FALSE)</f>
        <v>5863.34</v>
      </c>
      <c r="Q8" s="38">
        <f>VLOOKUP('Hide - Control'!$B$4,'All practice data'!B:BC,3,FALSE)</f>
        <v>90403</v>
      </c>
      <c r="R8" s="38">
        <f>+((2*P8+1.96^2-1.96*SQRT(1.96^2+4*P8*(1-P8/Q8)))/(2*(Q8+1.96^2)))</f>
        <v>0.06327081629989127</v>
      </c>
      <c r="S8" s="38">
        <f>+((2*P8+1.96^2+1.96*SQRT(1.96^2+4*P8*(1-P8/Q8)))/(2*(Q8+1.96^2)))</f>
        <v>0.06648177092023344</v>
      </c>
      <c r="T8" s="53" t="str">
        <f aca="true" t="shared" si="16" ref="T8:T15">IF($C8=1,M8,I8)</f>
        <v>0.16</v>
      </c>
      <c r="U8" s="51" t="str">
        <f t="shared" si="1"/>
        <v>0.03</v>
      </c>
      <c r="V8" s="7"/>
      <c r="W8" s="27">
        <f t="shared" si="2"/>
        <v>-0.04000000000000001</v>
      </c>
      <c r="X8" s="27" t="str">
        <f t="shared" si="3"/>
        <v>0.16</v>
      </c>
      <c r="Y8" s="27">
        <f t="shared" si="4"/>
        <v>-0.04000000000000001</v>
      </c>
      <c r="Z8" s="27" t="str">
        <f t="shared" si="5"/>
        <v>0.16</v>
      </c>
      <c r="AA8" s="32">
        <f t="shared" si="6"/>
        <v>0.35000000000000003</v>
      </c>
      <c r="AB8" s="33">
        <f t="shared" si="7"/>
        <v>0.5</v>
      </c>
      <c r="AC8" s="33">
        <v>0.5</v>
      </c>
      <c r="AD8" s="33">
        <f t="shared" si="8"/>
        <v>0.55</v>
      </c>
      <c r="AE8" s="33">
        <f t="shared" si="9"/>
        <v>1</v>
      </c>
      <c r="AF8" s="33">
        <f t="shared" si="10"/>
        <v>-999</v>
      </c>
      <c r="AG8" s="33">
        <f t="shared" si="11"/>
        <v>-999</v>
      </c>
      <c r="AH8" s="33">
        <f t="shared" si="12"/>
        <v>0.35000000000000003</v>
      </c>
      <c r="AI8" s="34">
        <f t="shared" si="13"/>
        <v>0.9527607794905796</v>
      </c>
      <c r="AJ8" s="4">
        <v>3.778046717820832</v>
      </c>
      <c r="AK8" s="32">
        <f t="shared" si="14"/>
        <v>0.35000000000000003</v>
      </c>
      <c r="AL8" s="34">
        <f t="shared" si="15"/>
        <v>-999</v>
      </c>
      <c r="AQ8" s="103">
        <v>3</v>
      </c>
      <c r="AR8" s="103">
        <v>0.6187</v>
      </c>
      <c r="AS8" s="103">
        <v>8.7673</v>
      </c>
      <c r="AY8" s="103" t="s">
        <v>318</v>
      </c>
      <c r="AZ8" s="103" t="s">
        <v>506</v>
      </c>
      <c r="BA8" s="103" t="s">
        <v>66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72</v>
      </c>
      <c r="E9" s="38">
        <f>IF(LEFT(VLOOKUP($B9,'Indicator chart'!$D$1:$J$36,5,FALSE),1)=" "," ",VLOOKUP($B9,'Indicator chart'!$D$1:$J$36,5,FALSE))</f>
        <v>695.1148870438309</v>
      </c>
      <c r="F9" s="38">
        <f>IF(LEFT(VLOOKUP($B9,'Indicator chart'!$D$1:$J$36,6,FALSE),1)=" "," ",VLOOKUP($B9,'Indicator chart'!$D$1:$J$36,6,FALSE))</f>
        <v>543.8599370098309</v>
      </c>
      <c r="G9" s="38">
        <f>IF(LEFT(VLOOKUP($B9,'Indicator chart'!$D$1:$J$36,7,FALSE),1)=" "," ",VLOOKUP($B9,'Indicator chart'!$D$1:$J$36,7,FALSE))</f>
        <v>875.3978153785333</v>
      </c>
      <c r="H9" s="50">
        <f t="shared" si="0"/>
        <v>3</v>
      </c>
      <c r="I9" s="300" t="s">
        <v>396</v>
      </c>
      <c r="J9" s="300" t="s">
        <v>428</v>
      </c>
      <c r="K9" s="300" t="s">
        <v>446</v>
      </c>
      <c r="L9" s="300" t="s">
        <v>464</v>
      </c>
      <c r="M9" s="300" t="s">
        <v>483</v>
      </c>
      <c r="N9" s="80">
        <f>VLOOKUP('Hide - Control'!B$3,'All practice data'!A:CA,A9+29,FALSE)</f>
        <v>490.02798579693155</v>
      </c>
      <c r="O9" s="80">
        <f>VLOOKUP('Hide - Control'!C$3,'All practice data'!A:CA,A9+29,FALSE)</f>
        <v>470.8933116400106</v>
      </c>
      <c r="P9" s="38">
        <f>VLOOKUP('Hide - Control'!$B$4,'All practice data'!B:BC,A9+2,FALSE)</f>
        <v>443</v>
      </c>
      <c r="Q9" s="38">
        <f>VLOOKUP('Hide - Control'!$B$4,'All practice data'!B:BC,3,FALSE)</f>
        <v>90403</v>
      </c>
      <c r="R9" s="38">
        <f>100000*(P9*(1-1/(9*P9)-1.96/(3*SQRT(P9)))^3)/Q9</f>
        <v>445.4511203695515</v>
      </c>
      <c r="S9" s="38">
        <f>100000*((P9+1)*(1-1/(9*(P9+1))+1.96/(3*SQRT(P9+1)))^3)/Q9</f>
        <v>537.8574741624207</v>
      </c>
      <c r="T9" s="53" t="str">
        <f t="shared" si="16"/>
        <v>695.114887</v>
      </c>
      <c r="U9" s="51" t="str">
        <f t="shared" si="1"/>
        <v>156.098</v>
      </c>
      <c r="V9" s="7"/>
      <c r="W9" s="27" t="str">
        <f t="shared" si="2"/>
        <v>156.098</v>
      </c>
      <c r="X9" s="27">
        <f t="shared" si="3"/>
        <v>748.8793756</v>
      </c>
      <c r="Y9" s="27" t="str">
        <f t="shared" si="4"/>
        <v>156.098</v>
      </c>
      <c r="Z9" s="27">
        <f t="shared" si="5"/>
        <v>748.8793756</v>
      </c>
      <c r="AA9" s="32">
        <f t="shared" si="6"/>
        <v>0</v>
      </c>
      <c r="AB9" s="33">
        <f t="shared" si="7"/>
        <v>0.4314392943623379</v>
      </c>
      <c r="AC9" s="33">
        <v>0.5</v>
      </c>
      <c r="AD9" s="33">
        <f t="shared" si="8"/>
        <v>0.5504848865565471</v>
      </c>
      <c r="AE9" s="33">
        <f t="shared" si="9"/>
        <v>0.9093013194863269</v>
      </c>
      <c r="AF9" s="33">
        <f t="shared" si="10"/>
        <v>-999</v>
      </c>
      <c r="AG9" s="33">
        <f t="shared" si="11"/>
        <v>-999</v>
      </c>
      <c r="AH9" s="33">
        <f t="shared" si="12"/>
        <v>0.9093013195602678</v>
      </c>
      <c r="AI9" s="34">
        <f t="shared" si="13"/>
        <v>0.5310479117556314</v>
      </c>
      <c r="AJ9" s="4">
        <v>4.854042143202755</v>
      </c>
      <c r="AK9" s="32">
        <f t="shared" si="14"/>
        <v>-999</v>
      </c>
      <c r="AL9" s="34">
        <f t="shared" si="15"/>
        <v>0.9093013195602678</v>
      </c>
      <c r="AQ9" s="103">
        <v>4</v>
      </c>
      <c r="AR9" s="103">
        <v>1.0899</v>
      </c>
      <c r="AS9" s="103">
        <v>10.2416</v>
      </c>
      <c r="AY9" s="103" t="s">
        <v>252</v>
      </c>
      <c r="AZ9" s="103" t="s">
        <v>507</v>
      </c>
      <c r="BA9" s="103" t="s">
        <v>66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231.70496234794362</v>
      </c>
      <c r="F10" s="38">
        <f>IF(LEFT(VLOOKUP($B10,'Indicator chart'!$D$1:$J$36,6,FALSE),1)=" "," ",VLOOKUP($B10,'Indicator chart'!$D$1:$J$36,6,FALSE))</f>
        <v>148.41272248271474</v>
      </c>
      <c r="G10" s="38">
        <f>IF(LEFT(VLOOKUP($B10,'Indicator chart'!$D$1:$J$36,7,FALSE),1)=" "," ",VLOOKUP($B10,'Indicator chart'!$D$1:$J$36,7,FALSE))</f>
        <v>344.7754859752016</v>
      </c>
      <c r="H10" s="50">
        <f t="shared" si="0"/>
        <v>2</v>
      </c>
      <c r="I10" s="300" t="s">
        <v>391</v>
      </c>
      <c r="J10" s="300" t="s">
        <v>429</v>
      </c>
      <c r="K10" s="300" t="s">
        <v>447</v>
      </c>
      <c r="L10" s="300" t="s">
        <v>465</v>
      </c>
      <c r="M10" s="300" t="s">
        <v>484</v>
      </c>
      <c r="N10" s="80">
        <f>VLOOKUP('Hide - Control'!B$3,'All practice data'!A:CA,A10+29,FALSE)</f>
        <v>217.91312235213434</v>
      </c>
      <c r="O10" s="80">
        <f>VLOOKUP('Hide - Control'!C$3,'All practice data'!A:CA,A10+29,FALSE)</f>
        <v>233.75900261472046</v>
      </c>
      <c r="P10" s="38">
        <f>VLOOKUP('Hide - Control'!$B$4,'All practice data'!B:BC,A10+2,FALSE)</f>
        <v>197</v>
      </c>
      <c r="Q10" s="38">
        <f>VLOOKUP('Hide - Control'!$B$4,'All practice data'!B:BC,3,FALSE)</f>
        <v>90403</v>
      </c>
      <c r="R10" s="38">
        <f>100000*(P10*(1-1/(9*P10)-1.96/(3*SQRT(P10)))^3)/Q10</f>
        <v>188.54231529761879</v>
      </c>
      <c r="S10" s="38">
        <f>100000*((P10+1)*(1-1/(9*(P10+1))+1.96/(3*SQRT(P10+1)))^3)/Q10</f>
        <v>250.56158174370015</v>
      </c>
      <c r="T10" s="53" t="str">
        <f t="shared" si="16"/>
        <v>264.5502646</v>
      </c>
      <c r="U10" s="51" t="str">
        <f t="shared" si="1"/>
        <v>61.6589</v>
      </c>
      <c r="V10" s="7"/>
      <c r="W10" s="27" t="str">
        <f t="shared" si="2"/>
        <v>61.6589</v>
      </c>
      <c r="X10" s="27">
        <f t="shared" si="3"/>
        <v>399.80856660000006</v>
      </c>
      <c r="Y10" s="27" t="str">
        <f t="shared" si="4"/>
        <v>61.6589</v>
      </c>
      <c r="Z10" s="27">
        <f t="shared" si="5"/>
        <v>399.80856660000006</v>
      </c>
      <c r="AA10" s="32">
        <f t="shared" si="6"/>
        <v>0</v>
      </c>
      <c r="AB10" s="33">
        <f t="shared" si="7"/>
        <v>0.4400446592071251</v>
      </c>
      <c r="AC10" s="33">
        <v>0.5</v>
      </c>
      <c r="AD10" s="33">
        <f t="shared" si="8"/>
        <v>0.5028721867738787</v>
      </c>
      <c r="AE10" s="33">
        <f t="shared" si="9"/>
        <v>0.6000046270635594</v>
      </c>
      <c r="AF10" s="33">
        <f t="shared" si="10"/>
        <v>-999</v>
      </c>
      <c r="AG10" s="33">
        <f t="shared" si="11"/>
        <v>0.5028721869156609</v>
      </c>
      <c r="AH10" s="33">
        <f t="shared" si="12"/>
        <v>-999</v>
      </c>
      <c r="AI10" s="34">
        <f t="shared" si="13"/>
        <v>0.5089465393981862</v>
      </c>
      <c r="AJ10" s="4">
        <v>5.930037568584676</v>
      </c>
      <c r="AK10" s="32">
        <f t="shared" si="14"/>
        <v>-999</v>
      </c>
      <c r="AL10" s="34">
        <f t="shared" si="15"/>
        <v>-999</v>
      </c>
      <c r="AY10" s="103" t="s">
        <v>317</v>
      </c>
      <c r="AZ10" s="103" t="s">
        <v>508</v>
      </c>
      <c r="BA10" s="103" t="s">
        <v>66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247</v>
      </c>
      <c r="E11" s="38">
        <f>IF(LEFT(VLOOKUP($B11,'Indicator chart'!$D$1:$J$36,5,FALSE),1)=" "," ",VLOOKUP($B11,'Indicator chart'!$D$1:$J$36,5,FALSE))</f>
        <v>0.023799999999999998</v>
      </c>
      <c r="F11" s="38">
        <f>IF(LEFT(VLOOKUP($B11,'Indicator chart'!$D$1:$J$36,6,FALSE),1)=" "," ",VLOOKUP($B11,'Indicator chart'!$D$1:$J$36,6,FALSE))</f>
        <v>0.021079836161055018</v>
      </c>
      <c r="G11" s="38">
        <f>IF(LEFT(VLOOKUP($B11,'Indicator chart'!$D$1:$J$36,7,FALSE),1)=" "," ",VLOOKUP($B11,'Indicator chart'!$D$1:$J$36,7,FALSE))</f>
        <v>0.026965831705552785</v>
      </c>
      <c r="H11" s="50">
        <f t="shared" si="0"/>
        <v>3</v>
      </c>
      <c r="I11" s="300" t="s">
        <v>400</v>
      </c>
      <c r="J11" s="300" t="s">
        <v>389</v>
      </c>
      <c r="K11" s="300" t="s">
        <v>411</v>
      </c>
      <c r="L11" s="300" t="s">
        <v>399</v>
      </c>
      <c r="M11" s="300" t="s">
        <v>485</v>
      </c>
      <c r="N11" s="80">
        <f>VLOOKUP('Hide - Control'!B$3,'All practice data'!A:CA,A11+29,FALSE)</f>
        <v>0.01997721314558145</v>
      </c>
      <c r="O11" s="80">
        <f>VLOOKUP('Hide - Control'!C$3,'All practice data'!A:CA,A11+29,FALSE)</f>
        <v>0.017736238185113332</v>
      </c>
      <c r="P11" s="38">
        <f>VLOOKUP('Hide - Control'!$B$4,'All practice data'!B:BC,A11+2,FALSE)</f>
        <v>1806</v>
      </c>
      <c r="Q11" s="38">
        <f>VLOOKUP('Hide - Control'!$B$4,'All practice data'!B:BC,3,FALSE)</f>
        <v>90403</v>
      </c>
      <c r="R11" s="80">
        <f aca="true" t="shared" si="17" ref="R11:R16">+((2*P11+1.96^2-1.96*SQRT(1.96^2+4*P11*(1-P11/Q11)))/(2*(Q11+1.96^2)))</f>
        <v>0.019085285540200586</v>
      </c>
      <c r="S11" s="80">
        <f aca="true" t="shared" si="18" ref="S11:S16">+((2*P11+1.96^2+1.96*SQRT(1.96^2+4*P11*(1-P11/Q11)))/(2*(Q11+1.96^2)))</f>
        <v>0.020909935352462477</v>
      </c>
      <c r="T11" s="53" t="str">
        <f t="shared" si="16"/>
        <v>0.0249</v>
      </c>
      <c r="U11" s="51" t="str">
        <f t="shared" si="1"/>
        <v>0.0152</v>
      </c>
      <c r="V11" s="7"/>
      <c r="W11" s="27">
        <f t="shared" si="2"/>
        <v>0.014700000000000005</v>
      </c>
      <c r="X11" s="27" t="str">
        <f t="shared" si="3"/>
        <v>0.0249</v>
      </c>
      <c r="Y11" s="27">
        <f t="shared" si="4"/>
        <v>0.014700000000000005</v>
      </c>
      <c r="Z11" s="27" t="str">
        <f t="shared" si="5"/>
        <v>0.0249</v>
      </c>
      <c r="AA11" s="32">
        <f t="shared" si="6"/>
        <v>0.04901960784313682</v>
      </c>
      <c r="AB11" s="33">
        <f t="shared" si="7"/>
        <v>0.32352941176470545</v>
      </c>
      <c r="AC11" s="33">
        <v>0.5</v>
      </c>
      <c r="AD11" s="33">
        <f t="shared" si="8"/>
        <v>0.7254901960784315</v>
      </c>
      <c r="AE11" s="33">
        <f t="shared" si="9"/>
        <v>1</v>
      </c>
      <c r="AF11" s="33">
        <f t="shared" si="10"/>
        <v>-999</v>
      </c>
      <c r="AG11" s="33">
        <f t="shared" si="11"/>
        <v>-999</v>
      </c>
      <c r="AH11" s="33">
        <f t="shared" si="12"/>
        <v>0.892156862745098</v>
      </c>
      <c r="AI11" s="34">
        <f t="shared" si="13"/>
        <v>0.2976704103052284</v>
      </c>
      <c r="AJ11" s="4">
        <v>7.0060329939666</v>
      </c>
      <c r="AK11" s="32">
        <f t="shared" si="14"/>
        <v>-999</v>
      </c>
      <c r="AL11" s="34">
        <f t="shared" si="15"/>
        <v>0.892156862745098</v>
      </c>
      <c r="AY11" s="103" t="s">
        <v>169</v>
      </c>
      <c r="AZ11" s="103" t="s">
        <v>509</v>
      </c>
      <c r="BA11" s="103" t="s">
        <v>66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1125</v>
      </c>
      <c r="E12" s="38">
        <f>IF(LEFT(VLOOKUP($B12,'Indicator chart'!$D$1:$J$36,5,FALSE),1)=" "," ",VLOOKUP($B12,'Indicator chart'!$D$1:$J$36,5,FALSE))</f>
        <v>0.803571</v>
      </c>
      <c r="F12" s="38">
        <f>IF(LEFT(VLOOKUP($B12,'Indicator chart'!$D$1:$J$36,6,FALSE),1)=" "," ",VLOOKUP($B12,'Indicator chart'!$D$1:$J$36,6,FALSE))</f>
        <v>0.7819409519675159</v>
      </c>
      <c r="G12" s="38">
        <f>IF(LEFT(VLOOKUP($B12,'Indicator chart'!$D$1:$J$36,7,FALSE),1)=" "," ",VLOOKUP($B12,'Indicator chart'!$D$1:$J$36,7,FALSE))</f>
        <v>0.8235404641694616</v>
      </c>
      <c r="H12" s="50">
        <f t="shared" si="0"/>
        <v>3</v>
      </c>
      <c r="I12" s="300" t="s">
        <v>418</v>
      </c>
      <c r="J12" s="300" t="s">
        <v>430</v>
      </c>
      <c r="K12" s="300" t="s">
        <v>448</v>
      </c>
      <c r="L12" s="300" t="s">
        <v>466</v>
      </c>
      <c r="M12" s="300" t="s">
        <v>486</v>
      </c>
      <c r="N12" s="80">
        <f>VLOOKUP('Hide - Control'!B$3,'All practice data'!A:CA,A12+29,FALSE)</f>
        <v>0.764555624064124</v>
      </c>
      <c r="O12" s="80">
        <f>VLOOKUP('Hide - Control'!C$3,'All practice data'!A:CA,A12+29,FALSE)</f>
        <v>0.7246856648259642</v>
      </c>
      <c r="P12" s="38">
        <f>VLOOKUP('Hide - Control'!$B$4,'All practice data'!B:BC,A12+2,FALSE)</f>
        <v>8680</v>
      </c>
      <c r="Q12" s="38">
        <f>VLOOKUP('Hide - Control'!$B$4,'All practice data'!B:BJ,57,FALSE)</f>
        <v>11353</v>
      </c>
      <c r="R12" s="38">
        <f t="shared" si="17"/>
        <v>0.7566623630961357</v>
      </c>
      <c r="S12" s="38">
        <f t="shared" si="18"/>
        <v>0.7722699062418464</v>
      </c>
      <c r="T12" s="53" t="str">
        <f t="shared" si="16"/>
        <v>0.803571</v>
      </c>
      <c r="U12" s="51" t="str">
        <f t="shared" si="1"/>
        <v>0.707113</v>
      </c>
      <c r="V12" s="7"/>
      <c r="W12" s="27" t="str">
        <f t="shared" si="2"/>
        <v>0.707113</v>
      </c>
      <c r="X12" s="27">
        <f t="shared" si="3"/>
        <v>0.8301630000000001</v>
      </c>
      <c r="Y12" s="27" t="str">
        <f t="shared" si="4"/>
        <v>0.707113</v>
      </c>
      <c r="Z12" s="27">
        <f t="shared" si="5"/>
        <v>0.8301630000000001</v>
      </c>
      <c r="AA12" s="32">
        <f t="shared" si="6"/>
        <v>0</v>
      </c>
      <c r="AB12" s="33">
        <f t="shared" si="7"/>
        <v>0.3472084518488415</v>
      </c>
      <c r="AC12" s="33">
        <v>0.5</v>
      </c>
      <c r="AD12" s="33">
        <f t="shared" si="8"/>
        <v>0.6698008939455502</v>
      </c>
      <c r="AE12" s="33">
        <f t="shared" si="9"/>
        <v>0.7838927265339289</v>
      </c>
      <c r="AF12" s="33">
        <f t="shared" si="10"/>
        <v>-999</v>
      </c>
      <c r="AG12" s="33">
        <f t="shared" si="11"/>
        <v>-999</v>
      </c>
      <c r="AH12" s="33">
        <f t="shared" si="12"/>
        <v>0.7838927265339289</v>
      </c>
      <c r="AI12" s="34">
        <f t="shared" si="13"/>
        <v>0.14280914121059884</v>
      </c>
      <c r="AJ12" s="4">
        <v>8.082028419348523</v>
      </c>
      <c r="AK12" s="32">
        <f t="shared" si="14"/>
        <v>-999</v>
      </c>
      <c r="AL12" s="34">
        <f t="shared" si="15"/>
        <v>0.7838927265339289</v>
      </c>
      <c r="AY12" s="103" t="s">
        <v>249</v>
      </c>
      <c r="AZ12" s="103" t="s">
        <v>510</v>
      </c>
      <c r="BA12" s="103" t="s">
        <v>66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214</v>
      </c>
      <c r="E13" s="38">
        <f>IF(LEFT(VLOOKUP($B13,'Indicator chart'!$D$1:$J$36,5,FALSE),1)=" "," ",VLOOKUP($B13,'Indicator chart'!$D$1:$J$36,5,FALSE))</f>
        <v>0.650456</v>
      </c>
      <c r="F13" s="38">
        <f>IF(LEFT(VLOOKUP($B13,'Indicator chart'!$D$1:$J$36,6,FALSE),1)=" "," ",VLOOKUP($B13,'Indicator chart'!$D$1:$J$36,6,FALSE))</f>
        <v>0.5974631715268112</v>
      </c>
      <c r="G13" s="38">
        <f>IF(LEFT(VLOOKUP($B13,'Indicator chart'!$D$1:$J$36,7,FALSE),1)=" "," ",VLOOKUP($B13,'Indicator chart'!$D$1:$J$36,7,FALSE))</f>
        <v>0.699975610163939</v>
      </c>
      <c r="H13" s="50">
        <f t="shared" si="0"/>
        <v>1</v>
      </c>
      <c r="I13" s="300" t="s">
        <v>403</v>
      </c>
      <c r="J13" s="300" t="s">
        <v>431</v>
      </c>
      <c r="K13" s="300" t="s">
        <v>408</v>
      </c>
      <c r="L13" s="300" t="s">
        <v>467</v>
      </c>
      <c r="M13" s="300" t="s">
        <v>487</v>
      </c>
      <c r="N13" s="80">
        <f>VLOOKUP('Hide - Control'!B$3,'All practice data'!A:CA,A13+29,FALSE)</f>
        <v>0.7542277339346111</v>
      </c>
      <c r="O13" s="80">
        <f>VLOOKUP('Hide - Control'!C$3,'All practice data'!A:CA,A13+29,FALSE)</f>
        <v>0.7425503147315781</v>
      </c>
      <c r="P13" s="38">
        <f>VLOOKUP('Hide - Control'!$B$4,'All practice data'!B:BC,A13+2,FALSE)</f>
        <v>4014</v>
      </c>
      <c r="Q13" s="38">
        <f>VLOOKUP('Hide - Control'!$B$4,'All practice data'!B:BJ,58,FALSE)</f>
        <v>5322</v>
      </c>
      <c r="R13" s="38">
        <f t="shared" si="17"/>
        <v>0.742479659611252</v>
      </c>
      <c r="S13" s="38">
        <f t="shared" si="18"/>
        <v>0.7656090526027951</v>
      </c>
      <c r="T13" s="53" t="str">
        <f t="shared" si="16"/>
        <v>0.782344</v>
      </c>
      <c r="U13" s="51" t="str">
        <f t="shared" si="1"/>
        <v>0.35</v>
      </c>
      <c r="V13" s="7"/>
      <c r="W13" s="27" t="str">
        <f t="shared" si="2"/>
        <v>0.35</v>
      </c>
      <c r="X13" s="27">
        <f t="shared" si="3"/>
        <v>1.15</v>
      </c>
      <c r="Y13" s="27" t="str">
        <f t="shared" si="4"/>
        <v>0.35</v>
      </c>
      <c r="Z13" s="27">
        <f t="shared" si="5"/>
        <v>1.15</v>
      </c>
      <c r="AA13" s="32">
        <f t="shared" si="6"/>
        <v>0</v>
      </c>
      <c r="AB13" s="33">
        <f t="shared" si="7"/>
        <v>0.3755700000000001</v>
      </c>
      <c r="AC13" s="33">
        <v>0.5</v>
      </c>
      <c r="AD13" s="33">
        <f t="shared" si="8"/>
        <v>0.51148875</v>
      </c>
      <c r="AE13" s="33">
        <f t="shared" si="9"/>
        <v>0.5404300000000001</v>
      </c>
      <c r="AF13" s="33">
        <f t="shared" si="10"/>
        <v>-999</v>
      </c>
      <c r="AG13" s="33">
        <f t="shared" si="11"/>
        <v>-999</v>
      </c>
      <c r="AH13" s="33">
        <f t="shared" si="12"/>
        <v>0.3755700000000001</v>
      </c>
      <c r="AI13" s="34">
        <f t="shared" si="13"/>
        <v>0.49068789341447266</v>
      </c>
      <c r="AJ13" s="4">
        <v>9.158023844730446</v>
      </c>
      <c r="AK13" s="32">
        <f t="shared" si="14"/>
        <v>0.3755700000000001</v>
      </c>
      <c r="AL13" s="34">
        <f t="shared" si="15"/>
        <v>-999</v>
      </c>
      <c r="AY13" s="103" t="s">
        <v>170</v>
      </c>
      <c r="AZ13" s="103" t="s">
        <v>511</v>
      </c>
      <c r="BA13" s="103" t="s">
        <v>66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2064</v>
      </c>
      <c r="E14" s="38">
        <f>IF(LEFT(VLOOKUP($B14,'Indicator chart'!$D$1:$J$36,5,FALSE),1)=" "," ",VLOOKUP($B14,'Indicator chart'!$D$1:$J$36,5,FALSE))</f>
        <v>0.773613</v>
      </c>
      <c r="F14" s="38">
        <f>IF(LEFT(VLOOKUP($B14,'Indicator chart'!$D$1:$J$36,6,FALSE),1)=" "," ",VLOOKUP($B14,'Indicator chart'!$D$1:$J$36,6,FALSE))</f>
        <v>0.7573463287115728</v>
      </c>
      <c r="G14" s="38">
        <f>IF(LEFT(VLOOKUP($B14,'Indicator chart'!$D$1:$J$36,7,FALSE),1)=" "," ",VLOOKUP($B14,'Indicator chart'!$D$1:$J$36,7,FALSE))</f>
        <v>0.7890932506407359</v>
      </c>
      <c r="H14" s="50">
        <f t="shared" si="0"/>
        <v>2</v>
      </c>
      <c r="I14" s="300" t="s">
        <v>419</v>
      </c>
      <c r="J14" s="300" t="s">
        <v>432</v>
      </c>
      <c r="K14" s="300" t="s">
        <v>449</v>
      </c>
      <c r="L14" s="300" t="s">
        <v>468</v>
      </c>
      <c r="M14" s="300" t="s">
        <v>488</v>
      </c>
      <c r="N14" s="80">
        <f>VLOOKUP('Hide - Control'!B$3,'All practice data'!A:CA,A14+29,FALSE)</f>
        <v>0.7688309400052858</v>
      </c>
      <c r="O14" s="80">
        <f>VLOOKUP('Hide - Control'!C$3,'All practice data'!A:CA,A14+29,FALSE)</f>
        <v>0.7530641252748632</v>
      </c>
      <c r="P14" s="38">
        <f>VLOOKUP('Hide - Control'!$B$4,'All practice data'!B:BC,A14+2,FALSE)</f>
        <v>17454</v>
      </c>
      <c r="Q14" s="38">
        <f>VLOOKUP('Hide - Control'!$B$4,'All practice data'!B:BJ,59,FALSE)</f>
        <v>22702</v>
      </c>
      <c r="R14" s="38">
        <f t="shared" si="17"/>
        <v>0.7633016453957497</v>
      </c>
      <c r="S14" s="38">
        <f t="shared" si="18"/>
        <v>0.7742692676330807</v>
      </c>
      <c r="T14" s="53" t="str">
        <f t="shared" si="16"/>
        <v>0.836735</v>
      </c>
      <c r="U14" s="51" t="str">
        <f t="shared" si="1"/>
        <v>0.740282</v>
      </c>
      <c r="V14" s="7"/>
      <c r="W14" s="27">
        <f t="shared" si="2"/>
        <v>0.710491</v>
      </c>
      <c r="X14" s="27" t="str">
        <f t="shared" si="3"/>
        <v>0.836735</v>
      </c>
      <c r="Y14" s="27">
        <f t="shared" si="4"/>
        <v>0.710491</v>
      </c>
      <c r="Z14" s="27" t="str">
        <f t="shared" si="5"/>
        <v>0.836735</v>
      </c>
      <c r="AA14" s="32">
        <f t="shared" si="6"/>
        <v>0.2359795317005165</v>
      </c>
      <c r="AB14" s="33">
        <f t="shared" si="7"/>
        <v>0.44852824688698073</v>
      </c>
      <c r="AC14" s="33">
        <v>0.5</v>
      </c>
      <c r="AD14" s="33">
        <f t="shared" si="8"/>
        <v>0.588637875859447</v>
      </c>
      <c r="AE14" s="33">
        <f t="shared" si="9"/>
        <v>1</v>
      </c>
      <c r="AF14" s="33">
        <f t="shared" si="10"/>
        <v>-999</v>
      </c>
      <c r="AG14" s="33">
        <f t="shared" si="11"/>
        <v>0.5</v>
      </c>
      <c r="AH14" s="33">
        <f t="shared" si="12"/>
        <v>-999</v>
      </c>
      <c r="AI14" s="34">
        <f t="shared" si="13"/>
        <v>0.33722890018427193</v>
      </c>
      <c r="AJ14" s="4">
        <v>10.234019270112368</v>
      </c>
      <c r="AK14" s="32">
        <f t="shared" si="14"/>
        <v>-999</v>
      </c>
      <c r="AL14" s="34">
        <f t="shared" si="15"/>
        <v>-999</v>
      </c>
      <c r="AY14" s="103" t="s">
        <v>275</v>
      </c>
      <c r="AZ14" s="103" t="s">
        <v>512</v>
      </c>
      <c r="BA14" s="103" t="s">
        <v>66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752</v>
      </c>
      <c r="E15" s="38">
        <f>IF(LEFT(VLOOKUP($B15,'Indicator chart'!$D$1:$J$36,5,FALSE),1)=" "," ",VLOOKUP($B15,'Indicator chart'!$D$1:$J$36,5,FALSE))</f>
        <v>0.612877</v>
      </c>
      <c r="F15" s="38">
        <f>IF(LEFT(VLOOKUP($B15,'Indicator chart'!$D$1:$J$36,6,FALSE),1)=" "," ",VLOOKUP($B15,'Indicator chart'!$D$1:$J$36,6,FALSE))</f>
        <v>0.5853099966999914</v>
      </c>
      <c r="G15" s="38">
        <f>IF(LEFT(VLOOKUP($B15,'Indicator chart'!$D$1:$J$36,7,FALSE),1)=" "," ",VLOOKUP($B15,'Indicator chart'!$D$1:$J$36,7,FALSE))</f>
        <v>0.639739270403103</v>
      </c>
      <c r="H15" s="50">
        <f t="shared" si="0"/>
        <v>2</v>
      </c>
      <c r="I15" s="300" t="s">
        <v>420</v>
      </c>
      <c r="J15" s="300" t="s">
        <v>433</v>
      </c>
      <c r="K15" s="300" t="s">
        <v>450</v>
      </c>
      <c r="L15" s="300" t="s">
        <v>469</v>
      </c>
      <c r="M15" s="300" t="s">
        <v>489</v>
      </c>
      <c r="N15" s="80">
        <f>VLOOKUP('Hide - Control'!B$3,'All practice data'!A:CA,A15+29,FALSE)</f>
        <v>0.6036585365853658</v>
      </c>
      <c r="O15" s="80">
        <f>VLOOKUP('Hide - Control'!C$3,'All practice data'!A:CA,A15+29,FALSE)</f>
        <v>0.5744521249276766</v>
      </c>
      <c r="P15" s="38">
        <f>VLOOKUP('Hide - Control'!$B$4,'All practice data'!B:BC,A15+2,FALSE)</f>
        <v>6039</v>
      </c>
      <c r="Q15" s="38">
        <f>VLOOKUP('Hide - Control'!$B$4,'All practice data'!B:BJ,60,FALSE)</f>
        <v>10004</v>
      </c>
      <c r="R15" s="38">
        <f t="shared" si="17"/>
        <v>0.5940353371563578</v>
      </c>
      <c r="S15" s="38">
        <f t="shared" si="18"/>
        <v>0.6132021554914076</v>
      </c>
      <c r="T15" s="53" t="str">
        <f t="shared" si="16"/>
        <v>0.625767</v>
      </c>
      <c r="U15" s="51" t="str">
        <f t="shared" si="1"/>
        <v>0.445714</v>
      </c>
      <c r="V15" s="7"/>
      <c r="W15" s="27" t="str">
        <f t="shared" si="2"/>
        <v>0.445714</v>
      </c>
      <c r="X15" s="27">
        <f t="shared" si="3"/>
        <v>0.7800400000000001</v>
      </c>
      <c r="Y15" s="27" t="str">
        <f t="shared" si="4"/>
        <v>0.445714</v>
      </c>
      <c r="Z15" s="27">
        <f t="shared" si="5"/>
        <v>0.7800400000000001</v>
      </c>
      <c r="AA15" s="32">
        <f t="shared" si="6"/>
        <v>0</v>
      </c>
      <c r="AB15" s="33">
        <f t="shared" si="7"/>
        <v>0.4123250958645154</v>
      </c>
      <c r="AC15" s="33">
        <v>0.5</v>
      </c>
      <c r="AD15" s="33">
        <f t="shared" si="8"/>
        <v>0.5114588754688537</v>
      </c>
      <c r="AE15" s="33">
        <f t="shared" si="9"/>
        <v>0.5385551826660204</v>
      </c>
      <c r="AF15" s="33">
        <f t="shared" si="10"/>
        <v>-999</v>
      </c>
      <c r="AG15" s="33">
        <f t="shared" si="11"/>
        <v>0.49999999999999994</v>
      </c>
      <c r="AH15" s="33">
        <f t="shared" si="12"/>
        <v>-999</v>
      </c>
      <c r="AI15" s="34">
        <f t="shared" si="13"/>
        <v>0.3850676433411598</v>
      </c>
      <c r="AJ15" s="4">
        <v>11.310014695494289</v>
      </c>
      <c r="AK15" s="32">
        <f t="shared" si="14"/>
        <v>-999</v>
      </c>
      <c r="AL15" s="34">
        <f t="shared" si="15"/>
        <v>-999</v>
      </c>
      <c r="AY15" s="103" t="s">
        <v>319</v>
      </c>
      <c r="AZ15" s="103" t="s">
        <v>513</v>
      </c>
      <c r="BA15" s="103" t="s">
        <v>66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415</v>
      </c>
      <c r="E16" s="38">
        <f>IF(LEFT(VLOOKUP($B16,'Indicator chart'!$D$1:$J$36,5,FALSE),1)=" "," ",VLOOKUP($B16,'Indicator chart'!$D$1:$J$36,5,FALSE))</f>
        <v>0.633588</v>
      </c>
      <c r="F16" s="38">
        <f>IF(LEFT(VLOOKUP($B16,'Indicator chart'!$D$1:$J$36,6,FALSE),1)=" "," ",VLOOKUP($B16,'Indicator chart'!$D$1:$J$36,6,FALSE))</f>
        <v>0.5960085672370362</v>
      </c>
      <c r="G16" s="38">
        <f>IF(LEFT(VLOOKUP($B16,'Indicator chart'!$D$1:$J$36,7,FALSE),1)=" "," ",VLOOKUP($B16,'Indicator chart'!$D$1:$J$36,7,FALSE))</f>
        <v>0.6696091472485094</v>
      </c>
      <c r="H16" s="50">
        <f t="shared" si="0"/>
        <v>3</v>
      </c>
      <c r="I16" s="300" t="s">
        <v>405</v>
      </c>
      <c r="J16" s="300" t="s">
        <v>434</v>
      </c>
      <c r="K16" s="300" t="s">
        <v>451</v>
      </c>
      <c r="L16" s="300" t="s">
        <v>470</v>
      </c>
      <c r="M16" s="300" t="s">
        <v>490</v>
      </c>
      <c r="N16" s="80">
        <f>VLOOKUP('Hide - Control'!B$3,'All practice data'!A:CA,A16+29,FALSE)</f>
        <v>0.5885014137606032</v>
      </c>
      <c r="O16" s="80">
        <f>VLOOKUP('Hide - Control'!C$3,'All practice data'!A:CA,A16+29,FALSE)</f>
        <v>0.5565049054289257</v>
      </c>
      <c r="P16" s="38">
        <f>VLOOKUP('Hide - Control'!$B$4,'All practice data'!B:BC,A16+2,FALSE)</f>
        <v>3122</v>
      </c>
      <c r="Q16" s="38">
        <f>VLOOKUP('Hide - Control'!$B$4,'All practice data'!B:BJ,61,FALSE)</f>
        <v>5305</v>
      </c>
      <c r="R16" s="38">
        <f t="shared" si="17"/>
        <v>0.5751994689710628</v>
      </c>
      <c r="S16" s="38">
        <f t="shared" si="18"/>
        <v>0.601675275229254</v>
      </c>
      <c r="T16" s="53" t="str">
        <f aca="true" t="shared" si="19" ref="T16:T31">IF($C16=1,M16,I16)</f>
        <v>0.633588</v>
      </c>
      <c r="U16" s="51" t="str">
        <f aca="true" t="shared" si="20" ref="U16:U31">IF($C16=1,I16,M16)</f>
        <v>0.423077</v>
      </c>
      <c r="V16" s="7"/>
      <c r="W16" s="27" t="str">
        <f t="shared" si="2"/>
        <v>0.423077</v>
      </c>
      <c r="X16" s="27">
        <f t="shared" si="3"/>
        <v>0.7578750000000001</v>
      </c>
      <c r="Y16" s="27" t="str">
        <f t="shared" si="4"/>
        <v>0.423077</v>
      </c>
      <c r="Z16" s="27">
        <f t="shared" si="5"/>
        <v>0.7578750000000001</v>
      </c>
      <c r="AA16" s="32">
        <f t="shared" si="6"/>
        <v>0</v>
      </c>
      <c r="AB16" s="33">
        <f t="shared" si="7"/>
        <v>0.40703050794807616</v>
      </c>
      <c r="AC16" s="33">
        <v>0.5</v>
      </c>
      <c r="AD16" s="33">
        <f t="shared" si="8"/>
        <v>0.5484590708427171</v>
      </c>
      <c r="AE16" s="33">
        <f t="shared" si="9"/>
        <v>0.6287701838123286</v>
      </c>
      <c r="AF16" s="33">
        <f t="shared" si="10"/>
        <v>-999</v>
      </c>
      <c r="AG16" s="33">
        <f t="shared" si="11"/>
        <v>-999</v>
      </c>
      <c r="AH16" s="33">
        <f t="shared" si="12"/>
        <v>0.6287701838123286</v>
      </c>
      <c r="AI16" s="34">
        <f t="shared" si="13"/>
        <v>0.3985325641996837</v>
      </c>
      <c r="AJ16" s="4">
        <v>12.386010120876215</v>
      </c>
      <c r="AK16" s="32">
        <f t="shared" si="14"/>
        <v>-999</v>
      </c>
      <c r="AL16" s="34">
        <f t="shared" si="15"/>
        <v>0.6287701838123286</v>
      </c>
      <c r="AY16" s="103" t="s">
        <v>218</v>
      </c>
      <c r="AZ16" s="103" t="s">
        <v>514</v>
      </c>
      <c r="BA16" s="103" t="s">
        <v>66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257</v>
      </c>
      <c r="E17" s="38">
        <f>IF(LEFT(VLOOKUP($B17,'Indicator chart'!$D$1:$J$36,5,FALSE),1)=" "," ",VLOOKUP($B17,'Indicator chart'!$D$1:$J$36,5,FALSE))</f>
        <v>2481.1739718092294</v>
      </c>
      <c r="F17" s="38">
        <f>IF(LEFT(VLOOKUP($B17,'Indicator chart'!$D$1:$J$36,6,FALSE),1)=" "," ",VLOOKUP($B17,'Indicator chart'!$D$1:$J$36,6,FALSE))</f>
        <v>2187.057037677929</v>
      </c>
      <c r="G17" s="38">
        <f>IF(LEFT(VLOOKUP($B17,'Indicator chart'!$D$1:$J$36,7,FALSE),1)=" "," ",VLOOKUP($B17,'Indicator chart'!$D$1:$J$36,7,FALSE))</f>
        <v>2803.8164206984284</v>
      </c>
      <c r="H17" s="50">
        <f t="shared" si="0"/>
        <v>3</v>
      </c>
      <c r="I17" s="300" t="s">
        <v>421</v>
      </c>
      <c r="J17" s="300" t="s">
        <v>435</v>
      </c>
      <c r="K17" s="300" t="s">
        <v>452</v>
      </c>
      <c r="L17" s="300" t="s">
        <v>471</v>
      </c>
      <c r="M17" s="300" t="s">
        <v>491</v>
      </c>
      <c r="N17" s="80">
        <f>VLOOKUP('Hide - Control'!B$3,'All practice data'!A:CA,A17+29,FALSE)</f>
        <v>1603.9290731502274</v>
      </c>
      <c r="O17" s="80">
        <f>VLOOKUP('Hide - Control'!C$3,'All practice data'!A:CA,A17+29,FALSE)</f>
        <v>1981.9429445600304</v>
      </c>
      <c r="P17" s="38">
        <f>VLOOKUP('Hide - Control'!$B$4,'All practice data'!B:BC,A17+2,FALSE)</f>
        <v>1450</v>
      </c>
      <c r="Q17" s="38">
        <f>VLOOKUP('Hide - Control'!$B$4,'All practice data'!B:BC,3,FALSE)</f>
        <v>90403</v>
      </c>
      <c r="R17" s="38">
        <f>100000*(P17*(1-1/(9*P17)-1.96/(3*SQRT(P17)))^3)/Q17</f>
        <v>1522.423664326176</v>
      </c>
      <c r="S17" s="38">
        <f>100000*((P17+1)*(1-1/(9*(P17+1))+1.96/(3*SQRT(P17+1)))^3)/Q17</f>
        <v>1688.6644499253057</v>
      </c>
      <c r="T17" s="53" t="str">
        <f t="shared" si="19"/>
        <v>2481.173972</v>
      </c>
      <c r="U17" s="51" t="str">
        <f t="shared" si="20"/>
        <v>323.0272266</v>
      </c>
      <c r="V17" s="7"/>
      <c r="W17" s="27" t="str">
        <f t="shared" si="2"/>
        <v>323.0272266</v>
      </c>
      <c r="X17" s="27">
        <f t="shared" si="3"/>
        <v>2913.8230694000003</v>
      </c>
      <c r="Y17" s="27" t="str">
        <f t="shared" si="4"/>
        <v>323.0272266</v>
      </c>
      <c r="Z17" s="27">
        <f t="shared" si="5"/>
        <v>2913.8230694000003</v>
      </c>
      <c r="AA17" s="32">
        <f t="shared" si="6"/>
        <v>0</v>
      </c>
      <c r="AB17" s="33">
        <f t="shared" si="7"/>
        <v>0.4367700216691115</v>
      </c>
      <c r="AC17" s="33">
        <v>0.5</v>
      </c>
      <c r="AD17" s="33">
        <f t="shared" si="8"/>
        <v>0.5723865346322764</v>
      </c>
      <c r="AE17" s="33">
        <f t="shared" si="9"/>
        <v>0.8330053297706332</v>
      </c>
      <c r="AF17" s="33">
        <f t="shared" si="10"/>
        <v>-999</v>
      </c>
      <c r="AG17" s="33">
        <f t="shared" si="11"/>
        <v>-999</v>
      </c>
      <c r="AH17" s="33">
        <f t="shared" si="12"/>
        <v>0.8330053296969993</v>
      </c>
      <c r="AI17" s="34">
        <f t="shared" si="13"/>
        <v>0.6403112474378371</v>
      </c>
      <c r="AJ17" s="4">
        <v>13.462005546258133</v>
      </c>
      <c r="AK17" s="32">
        <f t="shared" si="14"/>
        <v>-999</v>
      </c>
      <c r="AL17" s="34">
        <f t="shared" si="15"/>
        <v>0.8330053296969993</v>
      </c>
      <c r="AY17" s="103" t="s">
        <v>217</v>
      </c>
      <c r="AZ17" s="103" t="s">
        <v>515</v>
      </c>
      <c r="BA17" s="103" t="s">
        <v>66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257</v>
      </c>
      <c r="E18" s="80">
        <f>IF(LEFT(VLOOKUP($B18,'Indicator chart'!$D$1:$J$36,5,FALSE),1)=" "," ",VLOOKUP($B18,'Indicator chart'!$D$1:$J$36,5,FALSE))</f>
        <v>1.1547</v>
      </c>
      <c r="F18" s="81">
        <f>IF(LEFT(VLOOKUP($B18,'Indicator chart'!$D$1:$J$36,6,FALSE),1)=" "," ",VLOOKUP($B18,'Indicator chart'!$D$1:$J$36,6,FALSE))</f>
        <v>1.0178</v>
      </c>
      <c r="G18" s="38">
        <f>IF(LEFT(VLOOKUP($B18,'Indicator chart'!$D$1:$J$36,7,FALSE),1)=" "," ",VLOOKUP($B18,'Indicator chart'!$D$1:$J$36,7,FALSE))</f>
        <v>1.3048</v>
      </c>
      <c r="H18" s="50">
        <f>IF(LEFT(F18,1)=" ",4,IF(AND(ABS(N18-E18)&gt;SQRT((E18-G18)^2+(N18-R18)^2),E18&lt;N18),1,IF(AND(ABS(N18-E18)&gt;SQRT((E18-F18)^2+(N18-S18)^2),E18&gt;N18),3,2)))</f>
        <v>3</v>
      </c>
      <c r="I18" s="300" t="s">
        <v>422</v>
      </c>
      <c r="J18" s="300"/>
      <c r="K18" s="300" t="s">
        <v>165</v>
      </c>
      <c r="L18" s="300"/>
      <c r="M18" s="300" t="s">
        <v>492</v>
      </c>
      <c r="N18" s="80">
        <v>1</v>
      </c>
      <c r="O18" s="80">
        <f>VLOOKUP('Hide - Control'!C$3,'All practice data'!A:CA,A18+29,FALSE)</f>
        <v>1</v>
      </c>
      <c r="P18" s="38">
        <f>VLOOKUP('Hide - Control'!$B$4,'All practice data'!B:BC,A18+2,FALSE)</f>
        <v>1450</v>
      </c>
      <c r="Q18" s="38">
        <f>VLOOKUP('Hide - Control'!$B$4,'All practice data'!B:BC,14,FALSE)</f>
        <v>1450</v>
      </c>
      <c r="R18" s="81">
        <v>1</v>
      </c>
      <c r="S18" s="38">
        <v>1</v>
      </c>
      <c r="T18" s="53" t="str">
        <f t="shared" si="19"/>
        <v>1.1547</v>
      </c>
      <c r="U18" s="51" t="str">
        <f t="shared" si="20"/>
        <v>0.1867</v>
      </c>
      <c r="V18" s="7"/>
      <c r="W18" s="27" t="str">
        <f>IF((K18-I18)&gt;(M18-K18),I18,(K18-(M18-K18)))</f>
        <v>0.1867</v>
      </c>
      <c r="X18" s="27">
        <f t="shared" si="3"/>
        <v>1.8133</v>
      </c>
      <c r="Y18" s="27" t="str">
        <f t="shared" si="4"/>
        <v>0.1867</v>
      </c>
      <c r="Z18" s="27">
        <f t="shared" si="5"/>
        <v>1.8133</v>
      </c>
      <c r="AA18" s="32" t="s">
        <v>66</v>
      </c>
      <c r="AB18" s="33" t="s">
        <v>66</v>
      </c>
      <c r="AC18" s="33">
        <v>0.5</v>
      </c>
      <c r="AD18" s="33" t="s">
        <v>66</v>
      </c>
      <c r="AE18" s="33" t="s">
        <v>66</v>
      </c>
      <c r="AF18" s="33">
        <f t="shared" si="10"/>
        <v>-999</v>
      </c>
      <c r="AG18" s="33">
        <f t="shared" si="11"/>
        <v>-999</v>
      </c>
      <c r="AH18" s="33">
        <f t="shared" si="12"/>
        <v>0.5951063568179025</v>
      </c>
      <c r="AI18" s="34">
        <v>0.5</v>
      </c>
      <c r="AJ18" s="4">
        <v>14.538000971640056</v>
      </c>
      <c r="AK18" s="32">
        <f t="shared" si="14"/>
        <v>-999</v>
      </c>
      <c r="AL18" s="34">
        <f t="shared" si="15"/>
        <v>0.5951063568179025</v>
      </c>
      <c r="AY18" s="103" t="s">
        <v>223</v>
      </c>
      <c r="AZ18" s="103" t="s">
        <v>516</v>
      </c>
      <c r="BA18" s="103" t="s">
        <v>66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20</v>
      </c>
      <c r="E19" s="38">
        <f>IF(LEFT(VLOOKUP($B19,'Indicator chart'!$D$1:$J$36,5,FALSE),1)=" "," ",VLOOKUP($B19,'Indicator chart'!$D$1:$J$36,5,FALSE))</f>
        <v>0.07782101167315175</v>
      </c>
      <c r="F19" s="38">
        <f>IF(LEFT(VLOOKUP($B19,'Indicator chart'!$D$1:$J$36,6,FALSE),1)=" "," ",VLOOKUP($B19,'Indicator chart'!$D$1:$J$36,6,FALSE))</f>
        <v>0.050938999236686815</v>
      </c>
      <c r="G19" s="38">
        <f>IF(LEFT(VLOOKUP($B19,'Indicator chart'!$D$1:$J$36,7,FALSE),1)=" "," ",VLOOKUP($B19,'Indicator chart'!$D$1:$J$36,7,FALSE))</f>
        <v>0.11713848533632609</v>
      </c>
      <c r="H19" s="50">
        <f t="shared" si="0"/>
        <v>2</v>
      </c>
      <c r="I19" s="300" t="s">
        <v>392</v>
      </c>
      <c r="J19" s="300" t="s">
        <v>436</v>
      </c>
      <c r="K19" s="300" t="s">
        <v>453</v>
      </c>
      <c r="L19" s="300" t="s">
        <v>472</v>
      </c>
      <c r="M19" s="300" t="s">
        <v>404</v>
      </c>
      <c r="N19" s="80">
        <f>VLOOKUP('Hide - Control'!B$3,'All practice data'!A:CA,A19+29,FALSE)</f>
        <v>0.11724137931034483</v>
      </c>
      <c r="O19" s="80">
        <f>VLOOKUP('Hide - Control'!C$3,'All practice data'!A:CA,A19+29,FALSE)</f>
        <v>0.10567469035419712</v>
      </c>
      <c r="P19" s="38">
        <f>VLOOKUP('Hide - Control'!$B$4,'All practice data'!B:BC,A19+2,FALSE)</f>
        <v>170</v>
      </c>
      <c r="Q19" s="38">
        <f>VLOOKUP('Hide - Control'!$B$4,'All practice data'!B:BC,15,FALSE)</f>
        <v>1450</v>
      </c>
      <c r="R19" s="38">
        <f>+((2*P19+1.96^2-1.96*SQRT(1.96^2+4*P19*(1-P19/Q19)))/(2*(Q19+1.96^2)))</f>
        <v>0.101684788047608</v>
      </c>
      <c r="S19" s="38">
        <f>+((2*P19+1.96^2+1.96*SQRT(1.96^2+4*P19*(1-P19/Q19)))/(2*(Q19+1.96^2)))</f>
        <v>0.1348207569856336</v>
      </c>
      <c r="T19" s="53" t="str">
        <f t="shared" si="19"/>
        <v>0.173077</v>
      </c>
      <c r="U19" s="51" t="str">
        <f t="shared" si="20"/>
        <v>0.0302492</v>
      </c>
      <c r="V19" s="7"/>
      <c r="W19" s="27" t="str">
        <f t="shared" si="2"/>
        <v>0.0302492</v>
      </c>
      <c r="X19" s="27">
        <f t="shared" si="3"/>
        <v>0.186805064</v>
      </c>
      <c r="Y19" s="27" t="str">
        <f t="shared" si="4"/>
        <v>0.0302492</v>
      </c>
      <c r="Z19" s="27">
        <f t="shared" si="5"/>
        <v>0.186805064</v>
      </c>
      <c r="AA19" s="32">
        <f t="shared" si="6"/>
        <v>0</v>
      </c>
      <c r="AB19" s="33">
        <f t="shared" si="7"/>
        <v>0.3038647725134077</v>
      </c>
      <c r="AC19" s="33">
        <v>0.5</v>
      </c>
      <c r="AD19" s="33">
        <f t="shared" si="8"/>
        <v>0.6533189967256672</v>
      </c>
      <c r="AE19" s="33">
        <f t="shared" si="9"/>
        <v>0.91231204217301</v>
      </c>
      <c r="AF19" s="33">
        <f t="shared" si="10"/>
        <v>-999</v>
      </c>
      <c r="AG19" s="33">
        <f t="shared" si="11"/>
        <v>0.3038647704256658</v>
      </c>
      <c r="AH19" s="33">
        <f t="shared" si="12"/>
        <v>-999</v>
      </c>
      <c r="AI19" s="34">
        <f t="shared" si="13"/>
        <v>0.4817800395786971</v>
      </c>
      <c r="AJ19" s="4">
        <v>15.61399639702198</v>
      </c>
      <c r="AK19" s="32">
        <f t="shared" si="14"/>
        <v>-999</v>
      </c>
      <c r="AL19" s="34">
        <f t="shared" si="15"/>
        <v>-999</v>
      </c>
      <c r="AY19" s="103" t="s">
        <v>224</v>
      </c>
      <c r="AZ19" s="103" t="s">
        <v>517</v>
      </c>
      <c r="BA19" s="103" t="s">
        <v>66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0.37037037037037035</v>
      </c>
      <c r="F20" s="38">
        <f>IF(LEFT(VLOOKUP($B20,'Indicator chart'!$D$1:$J$36,6,FALSE),1)=" "," ",VLOOKUP($B20,'Indicator chart'!$D$1:$J$36,6,FALSE))</f>
        <v>0.2542318970762551</v>
      </c>
      <c r="G20" s="38">
        <f>IF(LEFT(VLOOKUP($B20,'Indicator chart'!$D$1:$J$36,7,FALSE),1)=" "," ",VLOOKUP($B20,'Indicator chart'!$D$1:$J$36,7,FALSE))</f>
        <v>0.5037277720891898</v>
      </c>
      <c r="H20" s="50">
        <f t="shared" si="0"/>
        <v>2</v>
      </c>
      <c r="I20" s="300" t="s">
        <v>393</v>
      </c>
      <c r="J20" s="300" t="s">
        <v>437</v>
      </c>
      <c r="K20" s="300" t="s">
        <v>407</v>
      </c>
      <c r="L20" s="300" t="s">
        <v>473</v>
      </c>
      <c r="M20" s="300" t="s">
        <v>493</v>
      </c>
      <c r="N20" s="80">
        <f>VLOOKUP('Hide - Control'!B$3,'All practice data'!A:CA,A20+29,FALSE)</f>
        <v>0.39260969976905313</v>
      </c>
      <c r="O20" s="80">
        <f>VLOOKUP('Hide - Control'!C$3,'All practice data'!A:CA,A20+29,FALSE)</f>
        <v>0.46478295325177904</v>
      </c>
      <c r="P20" s="38">
        <f>VLOOKUP('Hide - Control'!$B$4,'All practice data'!B:BC,A20+1,FALSE)</f>
        <v>170</v>
      </c>
      <c r="Q20" s="38">
        <f>VLOOKUP('Hide - Control'!$B$4,'All practice data'!B:BC,A20+2,FALSE)</f>
        <v>433</v>
      </c>
      <c r="R20" s="38">
        <f>+((2*P20+1.96^2-1.96*SQRT(1.96^2+4*P20*(1-P20/Q20)))/(2*(Q20+1.96^2)))</f>
        <v>0.34775036361886225</v>
      </c>
      <c r="S20" s="38">
        <f>+((2*P20+1.96^2+1.96*SQRT(1.96^2+4*P20*(1-P20/Q20)))/(2*(Q20+1.96^2)))</f>
        <v>0.43935782387976424</v>
      </c>
      <c r="T20" s="53" t="str">
        <f t="shared" si="19"/>
        <v>0.486486</v>
      </c>
      <c r="U20" s="51" t="str">
        <f t="shared" si="20"/>
        <v>0.148231</v>
      </c>
      <c r="V20" s="7"/>
      <c r="W20" s="27" t="str">
        <f t="shared" si="2"/>
        <v>0.148231</v>
      </c>
      <c r="X20" s="27">
        <f t="shared" si="3"/>
        <v>0.629546778</v>
      </c>
      <c r="Y20" s="27" t="str">
        <f t="shared" si="4"/>
        <v>0.148231</v>
      </c>
      <c r="Z20" s="27">
        <f t="shared" si="5"/>
        <v>0.629546778</v>
      </c>
      <c r="AA20" s="32">
        <f t="shared" si="6"/>
        <v>0</v>
      </c>
      <c r="AB20" s="33">
        <f t="shared" si="7"/>
        <v>0.39523021412358517</v>
      </c>
      <c r="AC20" s="33">
        <v>0.5</v>
      </c>
      <c r="AD20" s="33">
        <f t="shared" si="8"/>
        <v>0.5761309470307868</v>
      </c>
      <c r="AE20" s="33">
        <f t="shared" si="9"/>
        <v>0.702771476566887</v>
      </c>
      <c r="AF20" s="33">
        <f t="shared" si="10"/>
        <v>-999</v>
      </c>
      <c r="AG20" s="33">
        <f t="shared" si="11"/>
        <v>0.4615252200819611</v>
      </c>
      <c r="AH20" s="33">
        <f t="shared" si="12"/>
        <v>-999</v>
      </c>
      <c r="AI20" s="34">
        <f t="shared" si="13"/>
        <v>0.6576803996892432</v>
      </c>
      <c r="AJ20" s="4">
        <v>16.689991822403904</v>
      </c>
      <c r="AK20" s="32">
        <f t="shared" si="14"/>
        <v>-999</v>
      </c>
      <c r="AL20" s="34">
        <f t="shared" si="15"/>
        <v>-999</v>
      </c>
      <c r="AY20" s="103" t="s">
        <v>226</v>
      </c>
      <c r="AZ20" s="103" t="s">
        <v>518</v>
      </c>
      <c r="BA20" s="103" t="s">
        <v>66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357.21181695307973</v>
      </c>
      <c r="F21" s="38">
        <f>IF(LEFT(VLOOKUP($B21,'Indicator chart'!$D$1:$J$36,6,FALSE),1)=" "," ",VLOOKUP($B21,'Indicator chart'!$D$1:$J$36,6,FALSE))</f>
        <v>251.47510277936243</v>
      </c>
      <c r="G21" s="38">
        <f>IF(LEFT(VLOOKUP($B21,'Indicator chart'!$D$1:$J$36,7,FALSE),1)=" "," ",VLOOKUP($B21,'Indicator chart'!$D$1:$J$36,7,FALSE))</f>
        <v>492.38623988212987</v>
      </c>
      <c r="H21" s="50">
        <f t="shared" si="0"/>
        <v>2</v>
      </c>
      <c r="I21" s="300" t="s">
        <v>394</v>
      </c>
      <c r="J21" s="300" t="s">
        <v>438</v>
      </c>
      <c r="K21" s="300" t="s">
        <v>454</v>
      </c>
      <c r="L21" s="300" t="s">
        <v>474</v>
      </c>
      <c r="M21" s="300" t="s">
        <v>494</v>
      </c>
      <c r="N21" s="80">
        <f>VLOOKUP('Hide - Control'!B$3,'All practice data'!A:CA,A21+29,FALSE)</f>
        <v>410.3846111301616</v>
      </c>
      <c r="O21" s="80">
        <f>VLOOKUP('Hide - Control'!C$3,'All practice data'!A:CA,A21+29,FALSE)</f>
        <v>371.7205735004512</v>
      </c>
      <c r="P21" s="38">
        <f>VLOOKUP('Hide - Control'!$B$4,'All practice data'!B:BC,A21+2,FALSE)</f>
        <v>371</v>
      </c>
      <c r="Q21" s="38">
        <f>VLOOKUP('Hide - Control'!$B$4,'All practice data'!B:BC,3,FALSE)</f>
        <v>90403</v>
      </c>
      <c r="R21" s="38">
        <f aca="true" t="shared" si="21" ref="R21:R27">100000*(P21*(1-1/(9*P21)-1.96/(3*SQRT(P21)))^3)/Q21</f>
        <v>369.68107406748857</v>
      </c>
      <c r="S21" s="38">
        <f aca="true" t="shared" si="22" ref="S21:S27">100000*((P21+1)*(1-1/(9*(P21+1))+1.96/(3*SQRT(P21+1)))^3)/Q21</f>
        <v>454.3454395885727</v>
      </c>
      <c r="T21" s="53" t="str">
        <f t="shared" si="19"/>
        <v>623.7546565</v>
      </c>
      <c r="U21" s="51" t="str">
        <f t="shared" si="20"/>
        <v>91.7192</v>
      </c>
      <c r="V21" s="7"/>
      <c r="W21" s="27" t="str">
        <f t="shared" si="2"/>
        <v>91.7192</v>
      </c>
      <c r="X21" s="27">
        <f t="shared" si="3"/>
        <v>679.2625168</v>
      </c>
      <c r="Y21" s="27" t="str">
        <f t="shared" si="4"/>
        <v>91.7192</v>
      </c>
      <c r="Z21" s="27">
        <f t="shared" si="5"/>
        <v>679.2625168</v>
      </c>
      <c r="AA21" s="32">
        <f t="shared" si="6"/>
        <v>0</v>
      </c>
      <c r="AB21" s="33">
        <f t="shared" si="7"/>
        <v>0.45186901017950615</v>
      </c>
      <c r="AC21" s="33">
        <v>0.5</v>
      </c>
      <c r="AD21" s="33">
        <f t="shared" si="8"/>
        <v>0.5602999816132025</v>
      </c>
      <c r="AE21" s="33">
        <f t="shared" si="9"/>
        <v>0.9055255013327046</v>
      </c>
      <c r="AF21" s="33">
        <f t="shared" si="10"/>
        <v>-999</v>
      </c>
      <c r="AG21" s="33">
        <f t="shared" si="11"/>
        <v>0.45186901009964775</v>
      </c>
      <c r="AH21" s="33">
        <f t="shared" si="12"/>
        <v>-999</v>
      </c>
      <c r="AI21" s="34">
        <f t="shared" si="13"/>
        <v>0.4765629452232606</v>
      </c>
      <c r="AJ21" s="4">
        <v>17.765987247785823</v>
      </c>
      <c r="AK21" s="32">
        <f t="shared" si="14"/>
        <v>-999</v>
      </c>
      <c r="AL21" s="34">
        <f t="shared" si="15"/>
        <v>-999</v>
      </c>
      <c r="AY21" s="103" t="s">
        <v>219</v>
      </c>
      <c r="AZ21" s="103" t="s">
        <v>519</v>
      </c>
      <c r="BA21" s="103" t="s">
        <v>66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43</v>
      </c>
      <c r="E22" s="38">
        <f>IF(LEFT(VLOOKUP($B22,'Indicator chart'!$D$1:$J$36,5,FALSE),1)=" "," ",VLOOKUP($B22,'Indicator chart'!$D$1:$J$36,5,FALSE))</f>
        <v>415.13805754006563</v>
      </c>
      <c r="F22" s="38">
        <f>IF(LEFT(VLOOKUP($B22,'Indicator chart'!$D$1:$J$36,6,FALSE),1)=" "," ",VLOOKUP($B22,'Indicator chart'!$D$1:$J$36,6,FALSE))</f>
        <v>300.40529496666113</v>
      </c>
      <c r="G22" s="38">
        <f>IF(LEFT(VLOOKUP($B22,'Indicator chart'!$D$1:$J$36,7,FALSE),1)=" "," ",VLOOKUP($B22,'Indicator chart'!$D$1:$J$36,7,FALSE))</f>
        <v>559.2048511121249</v>
      </c>
      <c r="H22" s="50">
        <f t="shared" si="0"/>
        <v>3</v>
      </c>
      <c r="I22" s="300" t="s">
        <v>384</v>
      </c>
      <c r="J22" s="300" t="s">
        <v>439</v>
      </c>
      <c r="K22" s="300" t="s">
        <v>455</v>
      </c>
      <c r="L22" s="300" t="s">
        <v>475</v>
      </c>
      <c r="M22" s="300" t="s">
        <v>495</v>
      </c>
      <c r="N22" s="80">
        <f>VLOOKUP('Hide - Control'!B$3,'All practice data'!A:CA,A22+29,FALSE)</f>
        <v>271.00870546331424</v>
      </c>
      <c r="O22" s="80">
        <f>VLOOKUP('Hide - Control'!C$3,'All practice data'!A:CA,A22+29,FALSE)</f>
        <v>335.00369307827617</v>
      </c>
      <c r="P22" s="38">
        <f>VLOOKUP('Hide - Control'!$B$4,'All practice data'!B:BC,A22+2,FALSE)</f>
        <v>245</v>
      </c>
      <c r="Q22" s="38">
        <f>VLOOKUP('Hide - Control'!$B$4,'All practice data'!B:BC,3,FALSE)</f>
        <v>90403</v>
      </c>
      <c r="R22" s="38">
        <f t="shared" si="21"/>
        <v>238.13139122695398</v>
      </c>
      <c r="S22" s="38">
        <f t="shared" si="22"/>
        <v>307.1559433042933</v>
      </c>
      <c r="T22" s="53" t="str">
        <f t="shared" si="19"/>
        <v>415.1380575</v>
      </c>
      <c r="U22" s="51" t="str">
        <f t="shared" si="20"/>
        <v>46.7199</v>
      </c>
      <c r="V22" s="7"/>
      <c r="W22" s="27" t="str">
        <f t="shared" si="2"/>
        <v>46.7199</v>
      </c>
      <c r="X22" s="27">
        <f t="shared" si="3"/>
        <v>490.4021654</v>
      </c>
      <c r="Y22" s="27" t="str">
        <f t="shared" si="4"/>
        <v>46.7199</v>
      </c>
      <c r="Z22" s="27">
        <f t="shared" si="5"/>
        <v>490.4021654</v>
      </c>
      <c r="AA22" s="32">
        <f t="shared" si="6"/>
        <v>0</v>
      </c>
      <c r="AB22" s="33">
        <f t="shared" si="7"/>
        <v>0.3829074593433141</v>
      </c>
      <c r="AC22" s="33">
        <v>0.5</v>
      </c>
      <c r="AD22" s="33">
        <f t="shared" si="8"/>
        <v>0.725302457175923</v>
      </c>
      <c r="AE22" s="33">
        <f t="shared" si="9"/>
        <v>0.8303648494218133</v>
      </c>
      <c r="AF22" s="33">
        <f t="shared" si="10"/>
        <v>-999</v>
      </c>
      <c r="AG22" s="33">
        <f t="shared" si="11"/>
        <v>-999</v>
      </c>
      <c r="AH22" s="33">
        <f t="shared" si="12"/>
        <v>0.8303648495121159</v>
      </c>
      <c r="AI22" s="34">
        <f t="shared" si="13"/>
        <v>0.6497527973500925</v>
      </c>
      <c r="AJ22" s="4">
        <v>18.841982673167745</v>
      </c>
      <c r="AK22" s="32">
        <f t="shared" si="14"/>
        <v>-999</v>
      </c>
      <c r="AL22" s="34">
        <f t="shared" si="15"/>
        <v>0.8303648495121159</v>
      </c>
      <c r="AY22" s="103" t="s">
        <v>228</v>
      </c>
      <c r="AZ22" s="103" t="s">
        <v>520</v>
      </c>
      <c r="BA22" s="103" t="s">
        <v>66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164</v>
      </c>
      <c r="J23" s="300" t="s">
        <v>164</v>
      </c>
      <c r="K23" s="300" t="s">
        <v>456</v>
      </c>
      <c r="L23" s="300" t="s">
        <v>476</v>
      </c>
      <c r="M23" s="300" t="s">
        <v>496</v>
      </c>
      <c r="N23" s="80">
        <f>VLOOKUP('Hide - Control'!B$3,'All practice data'!A:CA,A23+29,FALSE)</f>
        <v>22.123159629658307</v>
      </c>
      <c r="O23" s="80">
        <f>VLOOKUP('Hide - Control'!C$3,'All practice data'!A:CA,A23+29,FALSE)</f>
        <v>77.58854188249504</v>
      </c>
      <c r="P23" s="38">
        <f>VLOOKUP('Hide - Control'!$B$4,'All practice data'!B:BC,A23+2,FALSE)</f>
        <v>20</v>
      </c>
      <c r="Q23" s="38">
        <f>VLOOKUP('Hide - Control'!$B$4,'All practice data'!B:BC,3,FALSE)</f>
        <v>90403</v>
      </c>
      <c r="R23" s="38">
        <f t="shared" si="21"/>
        <v>13.507641244621912</v>
      </c>
      <c r="S23" s="38">
        <f t="shared" si="22"/>
        <v>34.16932384574947</v>
      </c>
      <c r="T23" s="53" t="str">
        <f t="shared" si="19"/>
        <v>48.27186716</v>
      </c>
      <c r="U23" s="51" t="str">
        <f t="shared" si="20"/>
        <v>0</v>
      </c>
      <c r="V23" s="7"/>
      <c r="W23" s="27">
        <f t="shared" si="2"/>
        <v>-13.221043459999997</v>
      </c>
      <c r="X23" s="27" t="str">
        <f t="shared" si="3"/>
        <v>48.27186716</v>
      </c>
      <c r="Y23" s="27">
        <f t="shared" si="4"/>
        <v>-13.221043459999997</v>
      </c>
      <c r="Z23" s="27" t="str">
        <f t="shared" si="5"/>
        <v>48.27186716</v>
      </c>
      <c r="AA23" s="32">
        <f t="shared" si="6"/>
        <v>0.2150011005610129</v>
      </c>
      <c r="AB23" s="33">
        <f t="shared" si="7"/>
        <v>0.2150011005610129</v>
      </c>
      <c r="AC23" s="33">
        <v>0.5</v>
      </c>
      <c r="AD23" s="33">
        <f t="shared" si="8"/>
        <v>0.7211335998393501</v>
      </c>
      <c r="AE23" s="33">
        <f t="shared" si="9"/>
        <v>1</v>
      </c>
      <c r="AF23" s="33">
        <f t="shared" si="10"/>
        <v>-999</v>
      </c>
      <c r="AG23" s="33">
        <f t="shared" si="11"/>
        <v>-999</v>
      </c>
      <c r="AH23" s="33">
        <f t="shared" si="12"/>
        <v>-999</v>
      </c>
      <c r="AI23" s="34">
        <f t="shared" si="13"/>
        <v>1.4767488548990568</v>
      </c>
      <c r="AJ23" s="4">
        <v>19.917978098549675</v>
      </c>
      <c r="AK23" s="32">
        <f t="shared" si="14"/>
        <v>-999</v>
      </c>
      <c r="AL23" s="34">
        <f t="shared" si="15"/>
        <v>-999</v>
      </c>
      <c r="AY23" s="103" t="s">
        <v>216</v>
      </c>
      <c r="AZ23" s="103" t="s">
        <v>521</v>
      </c>
      <c r="BA23" s="103" t="s">
        <v>66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85</v>
      </c>
      <c r="E24" s="38">
        <f>IF(LEFT(VLOOKUP($B24,'Indicator chart'!$D$1:$J$36,5,FALSE),1)=" "," ",VLOOKUP($B24,'Indicator chart'!$D$1:$J$36,5,FALSE))</f>
        <v>820.621741648967</v>
      </c>
      <c r="F24" s="38">
        <f>IF(LEFT(VLOOKUP($B24,'Indicator chart'!$D$1:$J$36,6,FALSE),1)=" "," ",VLOOKUP($B24,'Indicator chart'!$D$1:$J$36,6,FALSE))</f>
        <v>655.4606910236569</v>
      </c>
      <c r="G24" s="38">
        <f>IF(LEFT(VLOOKUP($B24,'Indicator chart'!$D$1:$J$36,7,FALSE),1)=" "," ",VLOOKUP($B24,'Indicator chart'!$D$1:$J$36,7,FALSE))</f>
        <v>1014.7268099958915</v>
      </c>
      <c r="H24" s="50">
        <f t="shared" si="0"/>
        <v>3</v>
      </c>
      <c r="I24" s="300" t="s">
        <v>385</v>
      </c>
      <c r="J24" s="300" t="s">
        <v>440</v>
      </c>
      <c r="K24" s="300" t="s">
        <v>457</v>
      </c>
      <c r="L24" s="300" t="s">
        <v>477</v>
      </c>
      <c r="M24" s="300" t="s">
        <v>497</v>
      </c>
      <c r="N24" s="80">
        <f>VLOOKUP('Hide - Control'!B$3,'All practice data'!A:CA,A24+29,FALSE)</f>
        <v>318.5734986670796</v>
      </c>
      <c r="O24" s="80">
        <f>VLOOKUP('Hide - Control'!C$3,'All practice data'!A:CA,A24+29,FALSE)</f>
        <v>348.7732030109763</v>
      </c>
      <c r="P24" s="38">
        <f>VLOOKUP('Hide - Control'!$B$4,'All practice data'!B:BC,A24+2,FALSE)</f>
        <v>288</v>
      </c>
      <c r="Q24" s="38">
        <f>VLOOKUP('Hide - Control'!$B$4,'All practice data'!B:BC,3,FALSE)</f>
        <v>90403</v>
      </c>
      <c r="R24" s="38">
        <f t="shared" si="21"/>
        <v>282.83769266283315</v>
      </c>
      <c r="S24" s="38">
        <f t="shared" si="22"/>
        <v>357.57400091145786</v>
      </c>
      <c r="T24" s="53" t="str">
        <f t="shared" si="19"/>
        <v>820.6217416</v>
      </c>
      <c r="U24" s="51" t="str">
        <f t="shared" si="20"/>
        <v>51.2058</v>
      </c>
      <c r="V24" s="7"/>
      <c r="W24" s="27">
        <f t="shared" si="2"/>
        <v>-353.7683336</v>
      </c>
      <c r="X24" s="27" t="str">
        <f t="shared" si="3"/>
        <v>820.6217416</v>
      </c>
      <c r="Y24" s="27">
        <f t="shared" si="4"/>
        <v>-353.7683336</v>
      </c>
      <c r="Z24" s="27" t="str">
        <f t="shared" si="5"/>
        <v>820.6217416</v>
      </c>
      <c r="AA24" s="32">
        <f t="shared" si="6"/>
        <v>0.34483783723311223</v>
      </c>
      <c r="AB24" s="33">
        <f t="shared" si="7"/>
        <v>0.4714832041693672</v>
      </c>
      <c r="AC24" s="33">
        <v>0.5</v>
      </c>
      <c r="AD24" s="33">
        <f t="shared" si="8"/>
        <v>0.59657708183602</v>
      </c>
      <c r="AE24" s="33">
        <f t="shared" si="9"/>
        <v>1</v>
      </c>
      <c r="AF24" s="33">
        <f t="shared" si="10"/>
        <v>-999</v>
      </c>
      <c r="AG24" s="33">
        <f t="shared" si="11"/>
        <v>-999</v>
      </c>
      <c r="AH24" s="33">
        <f t="shared" si="12"/>
        <v>1.0000000000416958</v>
      </c>
      <c r="AI24" s="34">
        <f t="shared" si="13"/>
        <v>0.5982182167976281</v>
      </c>
      <c r="AJ24" s="4">
        <v>20.99397352393159</v>
      </c>
      <c r="AK24" s="32">
        <f t="shared" si="14"/>
        <v>-999</v>
      </c>
      <c r="AL24" s="34">
        <f t="shared" si="15"/>
        <v>1.0000000000416958</v>
      </c>
      <c r="AY24" s="103" t="s">
        <v>204</v>
      </c>
      <c r="AZ24" s="103" t="s">
        <v>522</v>
      </c>
      <c r="BA24" s="103" t="s">
        <v>66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73</v>
      </c>
      <c r="E25" s="38">
        <f>IF(LEFT(VLOOKUP($B25,'Indicator chart'!$D$1:$J$36,5,FALSE),1)=" "," ",VLOOKUP($B25,'Indicator chart'!$D$1:$J$36,5,FALSE))</f>
        <v>704.7692604749951</v>
      </c>
      <c r="F25" s="38">
        <f>IF(LEFT(VLOOKUP($B25,'Indicator chart'!$D$1:$J$36,6,FALSE),1)=" "," ",VLOOKUP($B25,'Indicator chart'!$D$1:$J$36,6,FALSE))</f>
        <v>552.4021081177168</v>
      </c>
      <c r="G25" s="38">
        <f>IF(LEFT(VLOOKUP($B25,'Indicator chart'!$D$1:$J$36,7,FALSE),1)=" "," ",VLOOKUP($B25,'Indicator chart'!$D$1:$J$36,7,FALSE))</f>
        <v>886.1571629186561</v>
      </c>
      <c r="H25" s="50">
        <f t="shared" si="0"/>
        <v>2</v>
      </c>
      <c r="I25" s="300" t="s">
        <v>423</v>
      </c>
      <c r="J25" s="300" t="s">
        <v>441</v>
      </c>
      <c r="K25" s="300" t="s">
        <v>458</v>
      </c>
      <c r="L25" s="300" t="s">
        <v>415</v>
      </c>
      <c r="M25" s="300" t="s">
        <v>498</v>
      </c>
      <c r="N25" s="80">
        <f>VLOOKUP('Hide - Control'!B$3,'All practice data'!A:CA,A25+29,FALSE)</f>
        <v>696.8795283342367</v>
      </c>
      <c r="O25" s="80">
        <f>VLOOKUP('Hide - Control'!C$3,'All practice data'!A:CA,A25+29,FALSE)</f>
        <v>623.2878522577265</v>
      </c>
      <c r="P25" s="38">
        <f>VLOOKUP('Hide - Control'!$B$4,'All practice data'!B:BC,A25+2,FALSE)</f>
        <v>630</v>
      </c>
      <c r="Q25" s="38">
        <f>VLOOKUP('Hide - Control'!$B$4,'All practice data'!B:BC,3,FALSE)</f>
        <v>90403</v>
      </c>
      <c r="R25" s="38">
        <f t="shared" si="21"/>
        <v>643.5158836382672</v>
      </c>
      <c r="S25" s="38">
        <f t="shared" si="22"/>
        <v>753.4876447252112</v>
      </c>
      <c r="T25" s="53" t="str">
        <f t="shared" si="19"/>
        <v>814.9316509</v>
      </c>
      <c r="U25" s="51" t="str">
        <f t="shared" si="20"/>
        <v>507.6142132</v>
      </c>
      <c r="V25" s="7"/>
      <c r="W25" s="27" t="str">
        <f t="shared" si="2"/>
        <v>507.6142132</v>
      </c>
      <c r="X25" s="27">
        <f t="shared" si="3"/>
        <v>894.8382429999999</v>
      </c>
      <c r="Y25" s="27" t="str">
        <f t="shared" si="4"/>
        <v>507.6142132</v>
      </c>
      <c r="Z25" s="27">
        <f t="shared" si="5"/>
        <v>894.8382429999999</v>
      </c>
      <c r="AA25" s="32">
        <f t="shared" si="6"/>
        <v>0</v>
      </c>
      <c r="AB25" s="33">
        <f t="shared" si="7"/>
        <v>0.2162402912940296</v>
      </c>
      <c r="AC25" s="33">
        <v>0.5</v>
      </c>
      <c r="AD25" s="33">
        <f t="shared" si="8"/>
        <v>0.537025796687786</v>
      </c>
      <c r="AE25" s="33">
        <f t="shared" si="9"/>
        <v>0.7936424758007105</v>
      </c>
      <c r="AF25" s="33">
        <f t="shared" si="10"/>
        <v>-999</v>
      </c>
      <c r="AG25" s="33">
        <f t="shared" si="11"/>
        <v>0.5091498256883106</v>
      </c>
      <c r="AH25" s="33">
        <f t="shared" si="12"/>
        <v>-999</v>
      </c>
      <c r="AI25" s="34">
        <f t="shared" si="13"/>
        <v>0.29872536349944917</v>
      </c>
      <c r="AJ25" s="4">
        <v>22.06996894931352</v>
      </c>
      <c r="AK25" s="32">
        <f t="shared" si="14"/>
        <v>-999</v>
      </c>
      <c r="AL25" s="34">
        <f t="shared" si="15"/>
        <v>-999</v>
      </c>
      <c r="AY25" s="103" t="s">
        <v>229</v>
      </c>
      <c r="AZ25" s="103" t="s">
        <v>523</v>
      </c>
      <c r="BA25" s="103" t="s">
        <v>66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74</v>
      </c>
      <c r="E26" s="38">
        <f>IF(LEFT(VLOOKUP($B26,'Indicator chart'!$D$1:$J$36,5,FALSE),1)=" "," ",VLOOKUP($B26,'Indicator chart'!$D$1:$J$36,5,FALSE))</f>
        <v>714.4236339061595</v>
      </c>
      <c r="F26" s="38">
        <f>IF(LEFT(VLOOKUP($B26,'Indicator chart'!$D$1:$J$36,6,FALSE),1)=" "," ",VLOOKUP($B26,'Indicator chart'!$D$1:$J$36,6,FALSE))</f>
        <v>560.9518837559341</v>
      </c>
      <c r="G26" s="38">
        <f>IF(LEFT(VLOOKUP($B26,'Indicator chart'!$D$1:$J$36,7,FALSE),1)=" "," ",VLOOKUP($B26,'Indicator chart'!$D$1:$J$36,7,FALSE))</f>
        <v>896.9090497468379</v>
      </c>
      <c r="H26" s="50">
        <f t="shared" si="0"/>
        <v>3</v>
      </c>
      <c r="I26" s="300" t="s">
        <v>424</v>
      </c>
      <c r="J26" s="300" t="s">
        <v>442</v>
      </c>
      <c r="K26" s="300" t="s">
        <v>459</v>
      </c>
      <c r="L26" s="300" t="s">
        <v>478</v>
      </c>
      <c r="M26" s="300" t="s">
        <v>499</v>
      </c>
      <c r="N26" s="80">
        <f>VLOOKUP('Hide - Control'!B$3,'All practice data'!A:CA,A26+29,FALSE)</f>
        <v>507.72651350065814</v>
      </c>
      <c r="O26" s="80">
        <f>VLOOKUP('Hide - Control'!C$3,'All practice data'!A:CA,A26+29,FALSE)</f>
        <v>432.5467854266958</v>
      </c>
      <c r="P26" s="38">
        <f>VLOOKUP('Hide - Control'!$B$4,'All practice data'!B:BC,A26+2,FALSE)</f>
        <v>459</v>
      </c>
      <c r="Q26" s="38">
        <f>VLOOKUP('Hide - Control'!$B$4,'All practice data'!B:BC,3,FALSE)</f>
        <v>90403</v>
      </c>
      <c r="R26" s="38">
        <f t="shared" si="21"/>
        <v>462.3327571631184</v>
      </c>
      <c r="S26" s="38">
        <f t="shared" si="22"/>
        <v>556.3720064456949</v>
      </c>
      <c r="T26" s="53" t="str">
        <f t="shared" si="19"/>
        <v>714.4236339</v>
      </c>
      <c r="U26" s="51" t="str">
        <f t="shared" si="20"/>
        <v>276.8804799</v>
      </c>
      <c r="V26" s="7"/>
      <c r="W26" s="27">
        <f t="shared" si="2"/>
        <v>239.4025097</v>
      </c>
      <c r="X26" s="27" t="str">
        <f t="shared" si="3"/>
        <v>714.4236339</v>
      </c>
      <c r="Y26" s="27">
        <f t="shared" si="4"/>
        <v>239.4025097</v>
      </c>
      <c r="Z26" s="27" t="str">
        <f t="shared" si="5"/>
        <v>714.4236339</v>
      </c>
      <c r="AA26" s="32">
        <f t="shared" si="6"/>
        <v>0.07889748116595446</v>
      </c>
      <c r="AB26" s="33">
        <f t="shared" si="7"/>
        <v>0.3506988679304717</v>
      </c>
      <c r="AC26" s="33">
        <v>0.5</v>
      </c>
      <c r="AD26" s="33">
        <f t="shared" si="8"/>
        <v>0.6258040008234228</v>
      </c>
      <c r="AE26" s="33">
        <f t="shared" si="9"/>
        <v>1</v>
      </c>
      <c r="AF26" s="33">
        <f t="shared" si="10"/>
        <v>-999</v>
      </c>
      <c r="AG26" s="33">
        <f t="shared" si="11"/>
        <v>-999</v>
      </c>
      <c r="AH26" s="33">
        <f t="shared" si="12"/>
        <v>1.0000000000129667</v>
      </c>
      <c r="AI26" s="34">
        <f t="shared" si="13"/>
        <v>0.4066014454661926</v>
      </c>
      <c r="AJ26" s="4">
        <v>23.145964374695435</v>
      </c>
      <c r="AK26" s="32">
        <f t="shared" si="14"/>
        <v>-999</v>
      </c>
      <c r="AL26" s="34">
        <f t="shared" si="15"/>
        <v>1.0000000000129667</v>
      </c>
      <c r="AY26" s="103" t="s">
        <v>221</v>
      </c>
      <c r="AZ26" s="103" t="s">
        <v>524</v>
      </c>
      <c r="BA26" s="103" t="s">
        <v>66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113</v>
      </c>
      <c r="E27" s="38">
        <f>IF(LEFT(VLOOKUP($B27,'Indicator chart'!$D$1:$J$36,5,FALSE),1)=" "," ",VLOOKUP($B27,'Indicator chart'!$D$1:$J$36,5,FALSE))</f>
        <v>1090.944197721568</v>
      </c>
      <c r="F27" s="38">
        <f>IF(LEFT(VLOOKUP($B27,'Indicator chart'!$D$1:$J$36,6,FALSE),1)=" "," ",VLOOKUP($B27,'Indicator chart'!$D$1:$J$36,6,FALSE))</f>
        <v>899.072235618934</v>
      </c>
      <c r="G27" s="38">
        <f>IF(LEFT(VLOOKUP($B27,'Indicator chart'!$D$1:$J$36,7,FALSE),1)=" "," ",VLOOKUP($B27,'Indicator chart'!$D$1:$J$36,7,FALSE))</f>
        <v>1311.6305769856642</v>
      </c>
      <c r="H27" s="50">
        <f t="shared" si="0"/>
        <v>2</v>
      </c>
      <c r="I27" s="300" t="s">
        <v>425</v>
      </c>
      <c r="J27" s="300" t="s">
        <v>443</v>
      </c>
      <c r="K27" s="300" t="s">
        <v>460</v>
      </c>
      <c r="L27" s="300" t="s">
        <v>479</v>
      </c>
      <c r="M27" s="300" t="s">
        <v>500</v>
      </c>
      <c r="N27" s="80">
        <f>VLOOKUP('Hide - Control'!B$3,'All practice data'!A:CA,A27+29,FALSE)</f>
        <v>1075.1855580013937</v>
      </c>
      <c r="O27" s="80">
        <f>VLOOKUP('Hide - Control'!C$3,'All practice data'!A:CA,A27+29,FALSE)</f>
        <v>1003.4847591501348</v>
      </c>
      <c r="P27" s="38">
        <f>VLOOKUP('Hide - Control'!$B$4,'All practice data'!B:BC,A27+2,FALSE)</f>
        <v>972</v>
      </c>
      <c r="Q27" s="38">
        <f>VLOOKUP('Hide - Control'!$B$4,'All practice data'!B:BC,3,FALSE)</f>
        <v>90403</v>
      </c>
      <c r="R27" s="38">
        <f t="shared" si="21"/>
        <v>1008.6450273439356</v>
      </c>
      <c r="S27" s="38">
        <f t="shared" si="22"/>
        <v>1144.9622772500109</v>
      </c>
      <c r="T27" s="53" t="str">
        <f t="shared" si="19"/>
        <v>1525.969481</v>
      </c>
      <c r="U27" s="51" t="str">
        <f t="shared" si="20"/>
        <v>830.6414398</v>
      </c>
      <c r="V27" s="7"/>
      <c r="W27" s="27">
        <f t="shared" si="2"/>
        <v>655.9189149999997</v>
      </c>
      <c r="X27" s="27" t="str">
        <f t="shared" si="3"/>
        <v>1525.969481</v>
      </c>
      <c r="Y27" s="27">
        <f t="shared" si="4"/>
        <v>655.9189149999997</v>
      </c>
      <c r="Z27" s="27" t="str">
        <f t="shared" si="5"/>
        <v>1525.969481</v>
      </c>
      <c r="AA27" s="32">
        <f t="shared" si="6"/>
        <v>0.20081881631693593</v>
      </c>
      <c r="AB27" s="33">
        <f t="shared" si="7"/>
        <v>0.26561968847681916</v>
      </c>
      <c r="AC27" s="33">
        <v>0.5</v>
      </c>
      <c r="AD27" s="33">
        <f t="shared" si="8"/>
        <v>0.6661941761210234</v>
      </c>
      <c r="AE27" s="33">
        <f t="shared" si="9"/>
        <v>1</v>
      </c>
      <c r="AF27" s="33">
        <f t="shared" si="10"/>
        <v>-999</v>
      </c>
      <c r="AG27" s="33">
        <f t="shared" si="11"/>
        <v>0.49999999967998177</v>
      </c>
      <c r="AH27" s="33">
        <f t="shared" si="12"/>
        <v>-999</v>
      </c>
      <c r="AI27" s="34">
        <f t="shared" si="13"/>
        <v>0.3994777519058989</v>
      </c>
      <c r="AJ27" s="4">
        <v>24.221959800077364</v>
      </c>
      <c r="AK27" s="32">
        <f t="shared" si="14"/>
        <v>-999</v>
      </c>
      <c r="AL27" s="34">
        <f t="shared" si="15"/>
        <v>-999</v>
      </c>
      <c r="AY27" s="103" t="s">
        <v>207</v>
      </c>
      <c r="AZ27" s="103" t="s">
        <v>525</v>
      </c>
      <c r="BA27" s="103" t="s">
        <v>66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56</v>
      </c>
      <c r="E28" s="38">
        <f>IF(LEFT(VLOOKUP($B28,'Indicator chart'!$D$1:$J$36,5,FALSE),1)=" "," ",VLOOKUP($B28,'Indicator chart'!$D$1:$J$36,5,FALSE))</f>
        <v>540.6449121452018</v>
      </c>
      <c r="F28" s="38">
        <f>IF(LEFT(VLOOKUP($B28,'Indicator chart'!$D$1:$J$36,6,FALSE),1)=" "," ",VLOOKUP($B28,'Indicator chart'!$D$1:$J$36,6,FALSE))</f>
        <v>408.3694078020801</v>
      </c>
      <c r="G28" s="38">
        <f>IF(LEFT(VLOOKUP($B28,'Indicator chart'!$D$1:$J$36,7,FALSE),1)=" "," ",VLOOKUP($B28,'Indicator chart'!$D$1:$J$36,7,FALSE))</f>
        <v>702.0885462714554</v>
      </c>
      <c r="H28" s="50">
        <f t="shared" si="0"/>
        <v>2</v>
      </c>
      <c r="I28" s="300" t="s">
        <v>426</v>
      </c>
      <c r="J28" s="300" t="s">
        <v>414</v>
      </c>
      <c r="K28" s="300" t="s">
        <v>461</v>
      </c>
      <c r="L28" s="300" t="s">
        <v>480</v>
      </c>
      <c r="M28" s="300" t="s">
        <v>501</v>
      </c>
      <c r="N28" s="80">
        <f>VLOOKUP('Hide - Control'!B$3,'All practice data'!A:CA,A28+29,FALSE)</f>
        <v>523.212725241419</v>
      </c>
      <c r="O28" s="80">
        <f>VLOOKUP('Hide - Control'!C$3,'All practice data'!A:CA,A28+29,FALSE)</f>
        <v>586.9262672471904</v>
      </c>
      <c r="P28" s="38">
        <f>VLOOKUP('Hide - Control'!$B$4,'All practice data'!B:BC,A28+2,FALSE)</f>
        <v>473</v>
      </c>
      <c r="Q28" s="38">
        <f>VLOOKUP('Hide - Control'!$B$4,'All practice data'!B:BC,3,FALSE)</f>
        <v>90403</v>
      </c>
      <c r="R28" s="38">
        <f>100000*(P28*(1-1/(9*P28)-1.96/(3*SQRT(P28)))^3)/Q28</f>
        <v>477.1157988713737</v>
      </c>
      <c r="S28" s="38">
        <f>100000*((P28+1)*(1-1/(9*(P28+1))+1.96/(3*SQRT(P28+1)))^3)/Q28</f>
        <v>572.5606495892781</v>
      </c>
      <c r="T28" s="53" t="str">
        <f t="shared" si="19"/>
        <v>657.9868403</v>
      </c>
      <c r="U28" s="51" t="str">
        <f t="shared" si="20"/>
        <v>325.1680035</v>
      </c>
      <c r="V28" s="7"/>
      <c r="W28" s="27">
        <f t="shared" si="2"/>
        <v>225.66558969999994</v>
      </c>
      <c r="X28" s="27" t="str">
        <f t="shared" si="3"/>
        <v>657.9868403</v>
      </c>
      <c r="Y28" s="27">
        <f t="shared" si="4"/>
        <v>225.66558969999994</v>
      </c>
      <c r="Z28" s="27" t="str">
        <f t="shared" si="5"/>
        <v>657.9868403</v>
      </c>
      <c r="AA28" s="32">
        <f t="shared" si="6"/>
        <v>0.2301585075031702</v>
      </c>
      <c r="AB28" s="33">
        <f t="shared" si="7"/>
        <v>0.3901177114609318</v>
      </c>
      <c r="AC28" s="33">
        <v>0.5</v>
      </c>
      <c r="AD28" s="33">
        <f t="shared" si="8"/>
        <v>0.862236301321432</v>
      </c>
      <c r="AE28" s="33">
        <f t="shared" si="9"/>
        <v>1</v>
      </c>
      <c r="AF28" s="33">
        <f t="shared" si="10"/>
        <v>-999</v>
      </c>
      <c r="AG28" s="33">
        <f t="shared" si="11"/>
        <v>0.7285770061223121</v>
      </c>
      <c r="AH28" s="33">
        <f t="shared" si="12"/>
        <v>-999</v>
      </c>
      <c r="AI28" s="34">
        <f t="shared" si="13"/>
        <v>0.8356301640176426</v>
      </c>
      <c r="AJ28" s="4">
        <v>25.297955225459287</v>
      </c>
      <c r="AK28" s="32">
        <f t="shared" si="14"/>
        <v>-999</v>
      </c>
      <c r="AL28" s="34">
        <f t="shared" si="15"/>
        <v>-999</v>
      </c>
      <c r="AY28" s="103" t="s">
        <v>230</v>
      </c>
      <c r="AZ28" s="103" t="s">
        <v>526</v>
      </c>
      <c r="BA28" s="103" t="s">
        <v>66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0.17647058823529413</v>
      </c>
      <c r="F29" s="38">
        <f>IF(LEFT(VLOOKUP($B29,'Indicator chart'!$D$1:$J$36,6,FALSE),1)=" "," ",VLOOKUP($B29,'Indicator chart'!$D$1:$J$36,6,FALSE))</f>
        <v>0.09572295725809898</v>
      </c>
      <c r="G29" s="38">
        <f>IF(LEFT(VLOOKUP($B29,'Indicator chart'!$D$1:$J$36,7,FALSE),1)=" "," ",VLOOKUP($B29,'Indicator chart'!$D$1:$J$36,7,FALSE))</f>
        <v>0.30254405172778037</v>
      </c>
      <c r="H29" s="50">
        <f t="shared" si="0"/>
        <v>2</v>
      </c>
      <c r="I29" s="300" t="s">
        <v>386</v>
      </c>
      <c r="J29" s="300" t="s">
        <v>409</v>
      </c>
      <c r="K29" s="300" t="s">
        <v>406</v>
      </c>
      <c r="L29" s="300" t="s">
        <v>413</v>
      </c>
      <c r="M29" s="300" t="s">
        <v>502</v>
      </c>
      <c r="N29" s="80">
        <f>VLOOKUP('Hide - Control'!B$3,'All practice data'!A:CA,A29+29,FALSE)</f>
        <v>0.19230769230769232</v>
      </c>
      <c r="O29" s="80">
        <f>VLOOKUP('Hide - Control'!C$3,'All practice data'!A:CA,A29+29,FALSE)</f>
        <v>0.2372068295675289</v>
      </c>
      <c r="P29" s="38">
        <f>VLOOKUP('Hide - Control'!$B$4,'All practice data'!B:BC,A29+2,FALSE)</f>
        <v>75</v>
      </c>
      <c r="Q29" s="38">
        <f>VLOOKUP('Hide - Control'!$B$4,'All practice data'!B:BC,26,FALSE)+VLOOKUP('Hide - Control'!$B$4,'All practice data'!B:BC,27,FALSE)+VLOOKUP('Hide - Control'!$B$4,'All practice data'!B:BC,28,FALSE)</f>
        <v>390</v>
      </c>
      <c r="R29" s="38">
        <f>+((2*P29+1.96^2-1.96*SQRT(1.96^2+4*P29*(1-P29/Q29)))/(2*(Q29+1.96^2)))</f>
        <v>0.15626951858118943</v>
      </c>
      <c r="S29" s="38">
        <f>+((2*P29+1.96^2+1.96*SQRT(1.96^2+4*P29*(1-P29/Q29)))/(2*(Q29+1.96^2)))</f>
        <v>0.23434843543890396</v>
      </c>
      <c r="T29" s="53" t="str">
        <f t="shared" si="19"/>
        <v>0.355556</v>
      </c>
      <c r="U29" s="51" t="str">
        <f t="shared" si="20"/>
        <v>0.0350981</v>
      </c>
      <c r="V29" s="7"/>
      <c r="W29" s="27">
        <f t="shared" si="2"/>
        <v>0.0015868580000000243</v>
      </c>
      <c r="X29" s="27" t="str">
        <f t="shared" si="3"/>
        <v>0.355556</v>
      </c>
      <c r="Y29" s="27">
        <f t="shared" si="4"/>
        <v>0.0015868580000000243</v>
      </c>
      <c r="Z29" s="27" t="str">
        <f t="shared" si="5"/>
        <v>0.355556</v>
      </c>
      <c r="AA29" s="32">
        <f t="shared" si="6"/>
        <v>0.09467277800164846</v>
      </c>
      <c r="AB29" s="33">
        <f t="shared" si="7"/>
        <v>0.49406490354461463</v>
      </c>
      <c r="AC29" s="33">
        <v>0.5</v>
      </c>
      <c r="AD29" s="33">
        <f t="shared" si="8"/>
        <v>0.6646207792881561</v>
      </c>
      <c r="AE29" s="33">
        <f t="shared" si="9"/>
        <v>1</v>
      </c>
      <c r="AF29" s="33">
        <f t="shared" si="10"/>
        <v>-999</v>
      </c>
      <c r="AG29" s="33">
        <f t="shared" si="11"/>
        <v>0.49406490420934523</v>
      </c>
      <c r="AH29" s="33">
        <f t="shared" si="12"/>
        <v>-999</v>
      </c>
      <c r="AI29" s="34">
        <f t="shared" si="13"/>
        <v>0.6656511644948104</v>
      </c>
      <c r="AJ29" s="4">
        <v>26.373950650841206</v>
      </c>
      <c r="AK29" s="32">
        <f t="shared" si="14"/>
        <v>-999</v>
      </c>
      <c r="AL29" s="34">
        <f t="shared" si="15"/>
        <v>-999</v>
      </c>
      <c r="AY29" s="103" t="s">
        <v>171</v>
      </c>
      <c r="AZ29" s="103" t="s">
        <v>527</v>
      </c>
      <c r="BA29" s="103" t="s">
        <v>66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0.35294117647058826</v>
      </c>
      <c r="F30" s="38">
        <f>IF(LEFT(VLOOKUP($B30,'Indicator chart'!$D$1:$J$36,6,FALSE),1)=" "," ",VLOOKUP($B30,'Indicator chart'!$D$1:$J$36,6,FALSE))</f>
        <v>0.23634305381259793</v>
      </c>
      <c r="G30" s="38">
        <f>IF(LEFT(VLOOKUP($B30,'Indicator chart'!$D$1:$J$36,7,FALSE),1)=" "," ",VLOOKUP($B30,'Indicator chart'!$D$1:$J$36,7,FALSE))</f>
        <v>0.49014195027189267</v>
      </c>
      <c r="H30" s="50">
        <f t="shared" si="0"/>
        <v>2</v>
      </c>
      <c r="I30" s="300" t="s">
        <v>387</v>
      </c>
      <c r="J30" s="300" t="s">
        <v>402</v>
      </c>
      <c r="K30" s="300" t="s">
        <v>462</v>
      </c>
      <c r="L30" s="300" t="s">
        <v>416</v>
      </c>
      <c r="M30" s="300" t="s">
        <v>395</v>
      </c>
      <c r="N30" s="80">
        <f>VLOOKUP('Hide - Control'!B$3,'All practice data'!A:CA,A30+29,FALSE)</f>
        <v>0.4717948717948718</v>
      </c>
      <c r="O30" s="80">
        <f>VLOOKUP('Hide - Control'!C$3,'All practice data'!A:CA,A30+29,FALSE)</f>
        <v>0.4919047132195072</v>
      </c>
      <c r="P30" s="38">
        <f>VLOOKUP('Hide - Control'!$B$4,'All practice data'!B:BC,A30+2,FALSE)</f>
        <v>184</v>
      </c>
      <c r="Q30" s="38">
        <f>VLOOKUP('Hide - Control'!$B$4,'All practice data'!B:BC,26,FALSE)+VLOOKUP('Hide - Control'!$B$4,'All practice data'!B:BC,27,FALSE)+VLOOKUP('Hide - Control'!$B$4,'All practice data'!B:BC,28,FALSE)</f>
        <v>390</v>
      </c>
      <c r="R30" s="38">
        <f>+((2*P30+1.96^2-1.96*SQRT(1.96^2+4*P30*(1-P30/Q30)))/(2*(Q30+1.96^2)))</f>
        <v>0.4227662394115091</v>
      </c>
      <c r="S30" s="38">
        <f>+((2*P30+1.96^2+1.96*SQRT(1.96^2+4*P30*(1-P30/Q30)))/(2*(Q30+1.96^2)))</f>
        <v>0.5213737397069995</v>
      </c>
      <c r="T30" s="53" t="str">
        <f t="shared" si="19"/>
        <v>0.6875</v>
      </c>
      <c r="U30" s="51" t="str">
        <f t="shared" si="20"/>
        <v>0.178051</v>
      </c>
      <c r="V30" s="7"/>
      <c r="W30" s="27" t="str">
        <f t="shared" si="2"/>
        <v>0.178051</v>
      </c>
      <c r="X30" s="27">
        <f t="shared" si="3"/>
        <v>0.716685842</v>
      </c>
      <c r="Y30" s="27" t="str">
        <f t="shared" si="4"/>
        <v>0.178051</v>
      </c>
      <c r="Z30" s="27">
        <f t="shared" si="5"/>
        <v>0.716685842</v>
      </c>
      <c r="AA30" s="32">
        <f t="shared" si="6"/>
        <v>0</v>
      </c>
      <c r="AB30" s="33">
        <f t="shared" si="7"/>
        <v>0.4120583792461016</v>
      </c>
      <c r="AC30" s="33">
        <v>0.5</v>
      </c>
      <c r="AD30" s="33">
        <f t="shared" si="8"/>
        <v>0.5314077212999897</v>
      </c>
      <c r="AE30" s="33">
        <f t="shared" si="9"/>
        <v>0.9458151613593538</v>
      </c>
      <c r="AF30" s="33">
        <f t="shared" si="10"/>
        <v>-999</v>
      </c>
      <c r="AG30" s="33">
        <f t="shared" si="11"/>
        <v>0.32469154023012176</v>
      </c>
      <c r="AH30" s="33">
        <f t="shared" si="12"/>
        <v>-999</v>
      </c>
      <c r="AI30" s="34">
        <f t="shared" si="13"/>
        <v>0.5826836452950943</v>
      </c>
      <c r="AJ30" s="4">
        <v>27.44994607622313</v>
      </c>
      <c r="AK30" s="32">
        <f t="shared" si="14"/>
        <v>-999</v>
      </c>
      <c r="AL30" s="34">
        <f t="shared" si="15"/>
        <v>-999</v>
      </c>
      <c r="AY30" s="103" t="s">
        <v>211</v>
      </c>
      <c r="AZ30" s="103" t="s">
        <v>528</v>
      </c>
      <c r="BA30" s="103" t="s">
        <v>66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24</v>
      </c>
      <c r="E31" s="38">
        <f>IF(LEFT(VLOOKUP($B31,'Indicator chart'!$D$1:$J$39,5,FALSE),1)=" "," ",VLOOKUP($B31,'Indicator chart'!$D$1:$J$39,5,FALSE))</f>
        <v>0.47058823529411764</v>
      </c>
      <c r="F31" s="38">
        <f>IF(LEFT(VLOOKUP($B31,'Indicator chart'!$D$1:$J$39,6,FALSE),1)=" "," ",VLOOKUP($B31,'Indicator chart'!$D$1:$J$39,6,FALSE))</f>
        <v>0.34052771426416406</v>
      </c>
      <c r="G31" s="38">
        <f>IF(LEFT(VLOOKUP($B31,'Indicator chart'!$D$1:$J$39,7,FALSE),1)=" "," ",VLOOKUP($B31,'Indicator chart'!$D$1:$J$39,7,FALSE))</f>
        <v>0.6047692865527341</v>
      </c>
      <c r="H31" s="50">
        <f t="shared" si="0"/>
        <v>2</v>
      </c>
      <c r="I31" s="300" t="s">
        <v>388</v>
      </c>
      <c r="J31" s="300" t="s">
        <v>444</v>
      </c>
      <c r="K31" s="300" t="s">
        <v>401</v>
      </c>
      <c r="L31" s="300" t="s">
        <v>481</v>
      </c>
      <c r="M31" s="300" t="s">
        <v>410</v>
      </c>
      <c r="N31" s="80">
        <f>VLOOKUP('Hide - Control'!B$3,'All practice data'!A:CA,A31+29,FALSE)</f>
        <v>0.33589743589743587</v>
      </c>
      <c r="O31" s="80">
        <f>VLOOKUP('Hide - Control'!C$3,'All practice data'!A:CA,A31+29,FALSE)</f>
        <v>0.2708884572129639</v>
      </c>
      <c r="P31" s="38">
        <f>VLOOKUP('Hide - Control'!$B$4,'All practice data'!B:BC,A31+2,FALSE)</f>
        <v>131</v>
      </c>
      <c r="Q31" s="38">
        <f>VLOOKUP('Hide - Control'!$B$4,'All practice data'!B:BC,26,FALSE)+VLOOKUP('Hide - Control'!$B$4,'All practice data'!B:BC,27,FALSE)+VLOOKUP('Hide - Control'!$B$4,'All practice data'!B:BC,28,FALSE)</f>
        <v>390</v>
      </c>
      <c r="R31" s="38">
        <f>+((2*P31+1.96^2-1.96*SQRT(1.96^2+4*P31*(1-P31/Q31)))/(2*(Q31+1.96^2)))</f>
        <v>0.29082447248719645</v>
      </c>
      <c r="S31" s="38">
        <f>+((2*P31+1.96^2+1.96*SQRT(1.96^2+4*P31*(1-P31/Q31)))/(2*(Q31+1.96^2)))</f>
        <v>0.38417176965685335</v>
      </c>
      <c r="T31" s="53" t="str">
        <f t="shared" si="19"/>
        <v>0.470588</v>
      </c>
      <c r="U31" s="51" t="str">
        <f t="shared" si="20"/>
        <v>0.0521808</v>
      </c>
      <c r="V31" s="7"/>
      <c r="W31" s="27" t="str">
        <f t="shared" si="2"/>
        <v>0.0521808</v>
      </c>
      <c r="X31" s="27">
        <f t="shared" si="3"/>
        <v>0.614485866</v>
      </c>
      <c r="Y31" s="27" t="str">
        <f t="shared" si="4"/>
        <v>0.0521808</v>
      </c>
      <c r="Z31" s="27">
        <f t="shared" si="5"/>
        <v>0.614485866</v>
      </c>
      <c r="AA31" s="32">
        <f t="shared" si="6"/>
        <v>0</v>
      </c>
      <c r="AB31" s="33">
        <f t="shared" si="7"/>
        <v>0.4497628801373808</v>
      </c>
      <c r="AC31" s="33">
        <v>0.5</v>
      </c>
      <c r="AD31" s="33">
        <f t="shared" si="8"/>
        <v>0.5423427165068437</v>
      </c>
      <c r="AE31" s="33">
        <f t="shared" si="9"/>
        <v>0.7440928871161904</v>
      </c>
      <c r="AF31" s="33">
        <f>IF(E31=" ",-999,IF(H31=4,(E31-$Y31)/($Z31-$Y31),-999))</f>
        <v>-999</v>
      </c>
      <c r="AG31" s="33">
        <f t="shared" si="11"/>
        <v>0.744093305561856</v>
      </c>
      <c r="AH31" s="33">
        <f t="shared" si="12"/>
        <v>-999</v>
      </c>
      <c r="AI31" s="34">
        <f t="shared" si="13"/>
        <v>0.3889484026326804</v>
      </c>
      <c r="AJ31" s="4">
        <v>28.525941501605054</v>
      </c>
      <c r="AK31" s="32">
        <f t="shared" si="14"/>
        <v>-999</v>
      </c>
      <c r="AL31" s="34">
        <f t="shared" si="15"/>
        <v>-999</v>
      </c>
      <c r="AY31" s="103" t="s">
        <v>215</v>
      </c>
      <c r="AZ31" s="103" t="s">
        <v>529</v>
      </c>
      <c r="BA31" s="103" t="s">
        <v>66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225</v>
      </c>
      <c r="AZ32" s="103" t="s">
        <v>530</v>
      </c>
      <c r="BA32" s="103" t="s">
        <v>66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227</v>
      </c>
      <c r="AZ33" s="103" t="s">
        <v>531</v>
      </c>
      <c r="BA33" s="103" t="s">
        <v>66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203</v>
      </c>
      <c r="AZ34" s="103" t="s">
        <v>532</v>
      </c>
      <c r="BA34" s="103" t="s">
        <v>66</v>
      </c>
      <c r="BB34" s="298">
        <v>174182</v>
      </c>
      <c r="BE34" s="77"/>
      <c r="BF34" s="250"/>
    </row>
    <row r="35" spans="2:58" ht="12.75">
      <c r="B35" s="17" t="s">
        <v>41</v>
      </c>
      <c r="C35" s="18"/>
      <c r="H35" s="287" t="s">
        <v>166</v>
      </c>
      <c r="I35" s="288"/>
      <c r="Y35" s="43"/>
      <c r="Z35" s="44"/>
      <c r="AA35" s="44"/>
      <c r="AB35" s="43"/>
      <c r="AC35" s="43"/>
      <c r="AY35" s="103" t="s">
        <v>212</v>
      </c>
      <c r="AZ35" s="103" t="s">
        <v>533</v>
      </c>
      <c r="BA35" s="103" t="s">
        <v>66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213</v>
      </c>
      <c r="AZ36" s="103" t="s">
        <v>534</v>
      </c>
      <c r="BA36" s="103" t="s">
        <v>66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231</v>
      </c>
      <c r="AZ37" s="103" t="s">
        <v>535</v>
      </c>
      <c r="BA37" s="103" t="s">
        <v>66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210</v>
      </c>
      <c r="AZ38" s="103" t="s">
        <v>536</v>
      </c>
      <c r="BA38" s="103" t="s">
        <v>66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232</v>
      </c>
      <c r="AZ39" s="103" t="s">
        <v>537</v>
      </c>
      <c r="BA39" s="103" t="s">
        <v>66</v>
      </c>
      <c r="BB39" s="298">
        <v>240654</v>
      </c>
      <c r="BE39" s="70"/>
      <c r="BF39" s="238"/>
    </row>
    <row r="40" spans="1:58" ht="12.75">
      <c r="A40" s="3"/>
      <c r="B40" s="71"/>
      <c r="C40" s="3"/>
      <c r="T40" s="13"/>
      <c r="U40" s="2"/>
      <c r="W40" s="2"/>
      <c r="X40" s="10"/>
      <c r="Y40" s="44"/>
      <c r="Z40" s="44"/>
      <c r="AA40" s="44"/>
      <c r="AB40" s="44"/>
      <c r="AC40" s="44"/>
      <c r="AD40" s="2"/>
      <c r="AE40" s="2"/>
      <c r="AY40" s="103" t="s">
        <v>233</v>
      </c>
      <c r="AZ40" s="103" t="s">
        <v>538</v>
      </c>
      <c r="BA40" s="103" t="s">
        <v>66</v>
      </c>
      <c r="BB40" s="298">
        <v>231440</v>
      </c>
      <c r="BF40" s="249"/>
    </row>
    <row r="41" spans="1:58" ht="12.75">
      <c r="A41" s="3"/>
      <c r="B41" s="71"/>
      <c r="C41" s="3"/>
      <c r="T41" s="13"/>
      <c r="U41" s="2"/>
      <c r="W41" s="2"/>
      <c r="X41" s="10"/>
      <c r="Y41" s="44"/>
      <c r="Z41" s="44"/>
      <c r="AA41" s="44"/>
      <c r="AB41" s="44"/>
      <c r="AC41" s="44"/>
      <c r="AD41" s="2"/>
      <c r="AE41" s="2"/>
      <c r="AY41" s="103" t="s">
        <v>208</v>
      </c>
      <c r="AZ41" s="103" t="s">
        <v>539</v>
      </c>
      <c r="BA41" s="103" t="s">
        <v>66</v>
      </c>
      <c r="BB41" s="298">
        <v>102110</v>
      </c>
      <c r="BE41" s="70"/>
      <c r="BF41" s="238"/>
    </row>
    <row r="42" spans="1:58" ht="12.75">
      <c r="A42" s="3"/>
      <c r="B42" s="45"/>
      <c r="C42" s="3"/>
      <c r="T42" s="13"/>
      <c r="U42" s="2"/>
      <c r="W42" s="2"/>
      <c r="X42" s="10"/>
      <c r="Y42" s="44"/>
      <c r="Z42" s="44"/>
      <c r="AA42" s="44"/>
      <c r="AB42" s="44"/>
      <c r="AC42" s="44"/>
      <c r="AD42" s="2"/>
      <c r="AE42" s="2"/>
      <c r="AY42" s="103" t="s">
        <v>206</v>
      </c>
      <c r="AZ42" s="103" t="s">
        <v>540</v>
      </c>
      <c r="BA42" s="103" t="s">
        <v>66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205</v>
      </c>
      <c r="AZ43" s="103" t="s">
        <v>541</v>
      </c>
      <c r="BA43" s="103" t="s">
        <v>66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220</v>
      </c>
      <c r="AZ44" s="103" t="s">
        <v>542</v>
      </c>
      <c r="BA44" s="103" t="s">
        <v>66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234</v>
      </c>
      <c r="AZ45" s="103" t="s">
        <v>543</v>
      </c>
      <c r="BA45" s="103" t="s">
        <v>66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222</v>
      </c>
      <c r="AZ46" s="103" t="s">
        <v>544</v>
      </c>
      <c r="BA46" s="103" t="s">
        <v>66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323</v>
      </c>
      <c r="AZ47" s="103" t="s">
        <v>545</v>
      </c>
      <c r="BA47" s="103" t="s">
        <v>66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269</v>
      </c>
      <c r="AZ48" s="103" t="s">
        <v>546</v>
      </c>
      <c r="BA48" s="103" t="s">
        <v>66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336</v>
      </c>
      <c r="AZ49" s="103" t="s">
        <v>547</v>
      </c>
      <c r="BA49" s="103" t="s">
        <v>66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280</v>
      </c>
      <c r="AZ50" s="103" t="s">
        <v>548</v>
      </c>
      <c r="BA50" s="103" t="s">
        <v>66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302</v>
      </c>
      <c r="AZ51" s="103" t="s">
        <v>549</v>
      </c>
      <c r="BA51" s="103" t="s">
        <v>66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293</v>
      </c>
      <c r="AZ52" s="103" t="s">
        <v>550</v>
      </c>
      <c r="BA52" s="103" t="s">
        <v>66</v>
      </c>
      <c r="BB52" s="298">
        <v>201657</v>
      </c>
      <c r="BF52" s="249"/>
    </row>
    <row r="53" spans="1:58" ht="12.75">
      <c r="A53" s="3"/>
      <c r="B53" s="12"/>
      <c r="C53" s="3"/>
      <c r="I53" s="11"/>
      <c r="J53" s="11"/>
      <c r="K53" s="11"/>
      <c r="L53" s="11"/>
      <c r="S53" s="11"/>
      <c r="U53" s="2"/>
      <c r="X53" s="2"/>
      <c r="Y53" s="2"/>
      <c r="Z53" s="2"/>
      <c r="AA53" s="2"/>
      <c r="AB53" s="2"/>
      <c r="AY53" s="103" t="s">
        <v>325</v>
      </c>
      <c r="AZ53" s="103" t="s">
        <v>551</v>
      </c>
      <c r="BA53" s="103" t="s">
        <v>66</v>
      </c>
      <c r="BB53" s="298">
        <v>118636</v>
      </c>
      <c r="BF53" s="249"/>
    </row>
    <row r="54" spans="1:58" ht="12.75">
      <c r="A54" s="3"/>
      <c r="B54" s="12"/>
      <c r="C54" s="3"/>
      <c r="I54" s="11"/>
      <c r="J54" s="11"/>
      <c r="K54" s="11"/>
      <c r="L54" s="11"/>
      <c r="S54" s="11"/>
      <c r="U54" s="2"/>
      <c r="X54" s="2"/>
      <c r="Y54" s="2"/>
      <c r="Z54" s="2"/>
      <c r="AA54" s="2"/>
      <c r="AB54" s="2"/>
      <c r="AY54" s="103" t="s">
        <v>340</v>
      </c>
      <c r="AZ54" s="103" t="s">
        <v>552</v>
      </c>
      <c r="BA54" s="103" t="s">
        <v>66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305</v>
      </c>
      <c r="AZ55" s="103" t="s">
        <v>553</v>
      </c>
      <c r="BA55" s="103" t="s">
        <v>66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326</v>
      </c>
      <c r="AZ56" s="103" t="s">
        <v>554</v>
      </c>
      <c r="BA56" s="103" t="s">
        <v>66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327</v>
      </c>
      <c r="AZ57" s="103" t="s">
        <v>555</v>
      </c>
      <c r="BA57" s="103" t="s">
        <v>66</v>
      </c>
      <c r="BB57" s="298">
        <v>359415</v>
      </c>
      <c r="BF57" s="249"/>
    </row>
    <row r="58" spans="1:58" ht="12.75">
      <c r="A58" s="3"/>
      <c r="B58" s="12"/>
      <c r="C58" s="3"/>
      <c r="E58" s="2"/>
      <c r="F58" s="2"/>
      <c r="G58" s="2"/>
      <c r="I58" s="11"/>
      <c r="J58" s="11"/>
      <c r="K58" s="11"/>
      <c r="L58" s="11"/>
      <c r="S58" s="11"/>
      <c r="T58" s="2"/>
      <c r="U58" s="2"/>
      <c r="X58" s="2"/>
      <c r="Y58" s="2"/>
      <c r="Z58" s="2"/>
      <c r="AA58" s="2"/>
      <c r="AB58" s="2"/>
      <c r="AY58" s="103" t="s">
        <v>324</v>
      </c>
      <c r="AZ58" s="103" t="s">
        <v>556</v>
      </c>
      <c r="BA58" s="103" t="s">
        <v>66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322</v>
      </c>
      <c r="AZ59" s="103" t="s">
        <v>557</v>
      </c>
      <c r="BA59" s="103" t="s">
        <v>66</v>
      </c>
      <c r="BB59" s="298">
        <v>159597</v>
      </c>
      <c r="BE59" s="70"/>
      <c r="BF59" s="236"/>
    </row>
    <row r="60" spans="1:58" ht="12.75">
      <c r="A60" s="3"/>
      <c r="B60" s="12"/>
      <c r="C60" s="3"/>
      <c r="G60" s="2"/>
      <c r="I60" s="11"/>
      <c r="J60" s="11"/>
      <c r="K60" s="11"/>
      <c r="L60" s="11"/>
      <c r="S60" s="11"/>
      <c r="T60" s="2"/>
      <c r="U60" s="2"/>
      <c r="X60" s="2"/>
      <c r="Y60" s="2"/>
      <c r="Z60" s="2"/>
      <c r="AA60" s="2"/>
      <c r="AB60" s="2"/>
      <c r="AY60" s="103" t="s">
        <v>276</v>
      </c>
      <c r="AZ60" s="103" t="s">
        <v>558</v>
      </c>
      <c r="BA60" s="103" t="s">
        <v>66</v>
      </c>
      <c r="BB60" s="298">
        <v>290050</v>
      </c>
      <c r="BE60" s="70"/>
      <c r="BF60" s="236"/>
    </row>
    <row r="61" spans="1:58" ht="12.75">
      <c r="A61" s="3"/>
      <c r="B61" s="12"/>
      <c r="C61" s="3"/>
      <c r="G61" s="2"/>
      <c r="I61" s="11"/>
      <c r="J61" s="2"/>
      <c r="K61" s="2"/>
      <c r="L61" s="2"/>
      <c r="S61" s="2"/>
      <c r="T61" s="2"/>
      <c r="U61" s="2"/>
      <c r="X61" s="2"/>
      <c r="Y61" s="2"/>
      <c r="Z61" s="2"/>
      <c r="AA61" s="2"/>
      <c r="AB61" s="2"/>
      <c r="AY61" s="103" t="s">
        <v>236</v>
      </c>
      <c r="AZ61" s="103" t="s">
        <v>559</v>
      </c>
      <c r="BA61" s="103" t="s">
        <v>66</v>
      </c>
      <c r="BB61" s="298">
        <v>258661</v>
      </c>
      <c r="BE61" s="70"/>
      <c r="BF61" s="236"/>
    </row>
    <row r="62" spans="1:58" ht="12.75">
      <c r="A62" s="3"/>
      <c r="B62" s="12"/>
      <c r="C62" s="3"/>
      <c r="G62" s="2"/>
      <c r="I62" s="11"/>
      <c r="J62" s="2"/>
      <c r="K62" s="2"/>
      <c r="L62" s="2"/>
      <c r="S62" s="2"/>
      <c r="T62" s="2"/>
      <c r="U62" s="2"/>
      <c r="X62" s="2"/>
      <c r="Y62" s="2"/>
      <c r="Z62" s="2"/>
      <c r="AA62" s="2"/>
      <c r="AB62" s="2"/>
      <c r="AY62" s="103" t="s">
        <v>309</v>
      </c>
      <c r="AZ62" s="103" t="s">
        <v>560</v>
      </c>
      <c r="BA62" s="103" t="s">
        <v>66</v>
      </c>
      <c r="BB62" s="298">
        <v>166624</v>
      </c>
      <c r="BE62" s="70"/>
      <c r="BF62" s="236"/>
    </row>
    <row r="63" spans="1:58" ht="12.75">
      <c r="A63" s="3"/>
      <c r="B63" s="12"/>
      <c r="C63" s="3"/>
      <c r="G63" s="2"/>
      <c r="I63" s="11"/>
      <c r="J63" s="2"/>
      <c r="K63" s="2"/>
      <c r="L63" s="2"/>
      <c r="S63" s="2"/>
      <c r="T63" s="2"/>
      <c r="U63" s="2"/>
      <c r="V63" s="13"/>
      <c r="X63" s="2"/>
      <c r="Y63" s="2"/>
      <c r="Z63" s="2"/>
      <c r="AA63" s="2"/>
      <c r="AB63" s="2"/>
      <c r="AY63" s="103" t="s">
        <v>291</v>
      </c>
      <c r="AZ63" s="103" t="s">
        <v>561</v>
      </c>
      <c r="BA63" s="103" t="s">
        <v>66</v>
      </c>
      <c r="BB63" s="298">
        <v>185008</v>
      </c>
      <c r="BE63" s="70"/>
      <c r="BF63" s="236"/>
    </row>
    <row r="64" spans="1:58" ht="12.75">
      <c r="A64" s="3"/>
      <c r="B64" s="12"/>
      <c r="C64" s="3"/>
      <c r="I64" s="11"/>
      <c r="V64" s="3"/>
      <c r="AY64" s="103" t="s">
        <v>320</v>
      </c>
      <c r="AZ64" s="103" t="s">
        <v>562</v>
      </c>
      <c r="BA64" s="103" t="s">
        <v>66</v>
      </c>
      <c r="BB64" s="298">
        <v>166721</v>
      </c>
      <c r="BE64" s="70"/>
      <c r="BF64" s="238"/>
    </row>
    <row r="65" spans="1:58" ht="12.75">
      <c r="A65" s="3"/>
      <c r="B65" s="12"/>
      <c r="C65" s="3"/>
      <c r="AY65" s="103" t="s">
        <v>304</v>
      </c>
      <c r="AZ65" s="103" t="s">
        <v>563</v>
      </c>
      <c r="BA65" s="103" t="s">
        <v>66</v>
      </c>
      <c r="BB65" s="298">
        <v>254708</v>
      </c>
      <c r="BE65" s="70"/>
      <c r="BF65" s="238"/>
    </row>
    <row r="66" spans="1:58" ht="12.75">
      <c r="A66" s="3"/>
      <c r="B66" s="12"/>
      <c r="C66" s="3"/>
      <c r="E66" s="2"/>
      <c r="F66" s="2"/>
      <c r="G66" s="2"/>
      <c r="V66" s="2"/>
      <c r="AY66" s="103" t="s">
        <v>307</v>
      </c>
      <c r="AZ66" s="103" t="s">
        <v>564</v>
      </c>
      <c r="BA66" s="103" t="s">
        <v>66</v>
      </c>
      <c r="BB66" s="298">
        <v>118017</v>
      </c>
      <c r="BE66" s="70"/>
      <c r="BF66" s="236"/>
    </row>
    <row r="67" spans="1:58" ht="12.75">
      <c r="A67" s="3"/>
      <c r="B67" s="12"/>
      <c r="C67" s="3"/>
      <c r="AY67" s="103" t="s">
        <v>301</v>
      </c>
      <c r="AZ67" s="103" t="s">
        <v>565</v>
      </c>
      <c r="BA67" s="103" t="s">
        <v>66</v>
      </c>
      <c r="BB67" s="298">
        <v>565185</v>
      </c>
      <c r="BE67" s="70"/>
      <c r="BF67" s="236"/>
    </row>
    <row r="68" spans="1:58" ht="12.75">
      <c r="A68" s="3"/>
      <c r="B68" s="12"/>
      <c r="C68" s="3"/>
      <c r="AY68" s="103" t="s">
        <v>321</v>
      </c>
      <c r="AZ68" s="103" t="s">
        <v>566</v>
      </c>
      <c r="BA68" s="103" t="s">
        <v>66</v>
      </c>
      <c r="BB68" s="298">
        <v>339389</v>
      </c>
      <c r="BF68" s="249"/>
    </row>
    <row r="69" spans="1:58" ht="12.75">
      <c r="A69" s="3"/>
      <c r="B69" s="12"/>
      <c r="C69" s="3"/>
      <c r="AY69" s="103" t="s">
        <v>328</v>
      </c>
      <c r="AZ69" s="103" t="s">
        <v>567</v>
      </c>
      <c r="BA69" s="103" t="s">
        <v>66</v>
      </c>
      <c r="BB69" s="298">
        <v>352792</v>
      </c>
      <c r="BE69" s="70"/>
      <c r="BF69" s="238"/>
    </row>
    <row r="70" spans="1:58" ht="12.75">
      <c r="A70" s="3"/>
      <c r="B70" s="12"/>
      <c r="C70" s="3"/>
      <c r="AY70" s="103" t="s">
        <v>335</v>
      </c>
      <c r="AZ70" s="103" t="s">
        <v>568</v>
      </c>
      <c r="BA70" s="103" t="s">
        <v>66</v>
      </c>
      <c r="BB70" s="298">
        <v>241613</v>
      </c>
      <c r="BE70" s="70"/>
      <c r="BF70" s="236"/>
    </row>
    <row r="71" spans="1:58" ht="12.75">
      <c r="A71" s="3"/>
      <c r="B71" s="12"/>
      <c r="C71" s="3"/>
      <c r="AY71" s="103" t="s">
        <v>382</v>
      </c>
      <c r="AZ71" s="103" t="s">
        <v>569</v>
      </c>
      <c r="BA71" s="103" t="s">
        <v>66</v>
      </c>
      <c r="BB71" s="298">
        <v>67686</v>
      </c>
      <c r="BE71" s="70"/>
      <c r="BF71" s="236"/>
    </row>
    <row r="72" spans="1:58" ht="12.75">
      <c r="A72" s="3"/>
      <c r="B72" s="12"/>
      <c r="C72" s="3"/>
      <c r="AY72" s="103" t="s">
        <v>331</v>
      </c>
      <c r="AZ72" s="103" t="s">
        <v>570</v>
      </c>
      <c r="BA72" s="103" t="s">
        <v>66</v>
      </c>
      <c r="BB72" s="298">
        <v>314664</v>
      </c>
      <c r="BE72" s="247"/>
      <c r="BF72" s="236"/>
    </row>
    <row r="73" spans="1:58" ht="12.75">
      <c r="A73" s="3"/>
      <c r="B73" s="12"/>
      <c r="C73" s="3"/>
      <c r="AY73" s="103" t="s">
        <v>303</v>
      </c>
      <c r="AZ73" s="103" t="s">
        <v>571</v>
      </c>
      <c r="BA73" s="103" t="s">
        <v>66</v>
      </c>
      <c r="BB73" s="298">
        <v>97292</v>
      </c>
      <c r="BE73" s="70"/>
      <c r="BF73" s="236"/>
    </row>
    <row r="74" spans="1:58" ht="12.75">
      <c r="A74" s="3"/>
      <c r="B74" s="12"/>
      <c r="C74" s="3"/>
      <c r="AY74" s="103" t="s">
        <v>330</v>
      </c>
      <c r="AZ74" s="103" t="s">
        <v>572</v>
      </c>
      <c r="BA74" s="103" t="s">
        <v>66</v>
      </c>
      <c r="BB74" s="298">
        <v>102317</v>
      </c>
      <c r="BE74" s="70"/>
      <c r="BF74" s="238"/>
    </row>
    <row r="75" spans="1:58" ht="12.75">
      <c r="A75" s="3"/>
      <c r="B75" s="12"/>
      <c r="C75" s="3"/>
      <c r="AY75" s="103" t="s">
        <v>248</v>
      </c>
      <c r="AZ75" s="103" t="s">
        <v>573</v>
      </c>
      <c r="BA75" s="103" t="s">
        <v>66</v>
      </c>
      <c r="BB75" s="298">
        <v>371595</v>
      </c>
      <c r="BE75" s="70"/>
      <c r="BF75" s="238"/>
    </row>
    <row r="76" spans="1:58" ht="12.75">
      <c r="A76" s="3"/>
      <c r="B76" s="12"/>
      <c r="C76" s="3"/>
      <c r="AY76" s="103" t="s">
        <v>333</v>
      </c>
      <c r="AZ76" s="103" t="s">
        <v>574</v>
      </c>
      <c r="BA76" s="103" t="s">
        <v>66</v>
      </c>
      <c r="BB76" s="298">
        <v>226047</v>
      </c>
      <c r="BE76" s="70"/>
      <c r="BF76" s="238"/>
    </row>
    <row r="77" spans="1:58" ht="12.75">
      <c r="A77" s="3"/>
      <c r="B77" s="12"/>
      <c r="C77" s="3"/>
      <c r="AY77" s="103" t="s">
        <v>295</v>
      </c>
      <c r="AZ77" s="103" t="s">
        <v>575</v>
      </c>
      <c r="BA77" s="103" t="s">
        <v>66</v>
      </c>
      <c r="BB77" s="298">
        <v>183762</v>
      </c>
      <c r="BE77" s="70"/>
      <c r="BF77" s="246"/>
    </row>
    <row r="78" spans="1:58" ht="12.75">
      <c r="A78" s="3"/>
      <c r="B78" s="12"/>
      <c r="C78" s="3"/>
      <c r="AY78" s="103" t="s">
        <v>313</v>
      </c>
      <c r="AZ78" s="103" t="s">
        <v>576</v>
      </c>
      <c r="BA78" s="103" t="s">
        <v>66</v>
      </c>
      <c r="BB78" s="298">
        <v>265437</v>
      </c>
      <c r="BE78" s="70"/>
      <c r="BF78" s="236"/>
    </row>
    <row r="79" spans="1:58" ht="12.75">
      <c r="A79" s="3"/>
      <c r="B79" s="12"/>
      <c r="C79" s="3"/>
      <c r="AY79" s="103" t="s">
        <v>238</v>
      </c>
      <c r="AZ79" s="103" t="s">
        <v>577</v>
      </c>
      <c r="BA79" s="103" t="s">
        <v>66</v>
      </c>
      <c r="BB79" s="298">
        <v>628635</v>
      </c>
      <c r="BF79" s="236"/>
    </row>
    <row r="80" spans="1:58" ht="12.75">
      <c r="A80" s="3"/>
      <c r="B80" s="12"/>
      <c r="C80" s="3"/>
      <c r="AY80" s="103" t="s">
        <v>339</v>
      </c>
      <c r="AZ80" s="103" t="s">
        <v>578</v>
      </c>
      <c r="BA80" s="103" t="s">
        <v>66</v>
      </c>
      <c r="BB80" s="298">
        <v>128014</v>
      </c>
      <c r="BF80" s="249"/>
    </row>
    <row r="81" spans="1:58" ht="12.75">
      <c r="A81" s="3"/>
      <c r="B81" s="12"/>
      <c r="C81" s="3"/>
      <c r="AY81" s="103" t="s">
        <v>329</v>
      </c>
      <c r="AZ81" s="103" t="s">
        <v>579</v>
      </c>
      <c r="BA81" s="103" t="s">
        <v>66</v>
      </c>
      <c r="BB81" s="298">
        <v>262238</v>
      </c>
      <c r="BF81" s="249"/>
    </row>
    <row r="82" spans="1:58" ht="12.75">
      <c r="A82" s="3"/>
      <c r="B82" s="12"/>
      <c r="C82" s="3"/>
      <c r="AY82" s="103" t="s">
        <v>338</v>
      </c>
      <c r="AZ82" s="103" t="s">
        <v>580</v>
      </c>
      <c r="BA82" s="103" t="s">
        <v>66</v>
      </c>
      <c r="BB82" s="298">
        <v>342743</v>
      </c>
      <c r="BF82" s="249"/>
    </row>
    <row r="83" spans="1:58" ht="12.75">
      <c r="A83" s="3"/>
      <c r="B83" s="12"/>
      <c r="C83" s="3"/>
      <c r="AY83" s="103" t="s">
        <v>237</v>
      </c>
      <c r="AZ83" s="103" t="s">
        <v>581</v>
      </c>
      <c r="BA83" s="103" t="s">
        <v>66</v>
      </c>
      <c r="BB83" s="298">
        <v>144732</v>
      </c>
      <c r="BE83" s="70"/>
      <c r="BF83" s="238"/>
    </row>
    <row r="84" spans="1:58" ht="12.75">
      <c r="A84" s="3"/>
      <c r="B84" s="12"/>
      <c r="C84" s="3"/>
      <c r="AY84" s="103" t="s">
        <v>337</v>
      </c>
      <c r="AZ84" s="103" t="s">
        <v>582</v>
      </c>
      <c r="BA84" s="103" t="s">
        <v>66</v>
      </c>
      <c r="BB84" s="298">
        <v>93461</v>
      </c>
      <c r="BE84" s="70"/>
      <c r="BF84" s="238"/>
    </row>
    <row r="85" spans="1:58" ht="12.75">
      <c r="A85" s="3"/>
      <c r="B85" s="12"/>
      <c r="C85" s="3"/>
      <c r="AY85" s="103" t="s">
        <v>332</v>
      </c>
      <c r="AZ85" s="103" t="s">
        <v>583</v>
      </c>
      <c r="BA85" s="103" t="s">
        <v>66</v>
      </c>
      <c r="BB85" s="298">
        <v>121763</v>
      </c>
      <c r="BE85" s="70"/>
      <c r="BF85" s="238"/>
    </row>
    <row r="86" spans="1:58" ht="12.75">
      <c r="A86" s="3"/>
      <c r="B86" s="12"/>
      <c r="C86" s="3"/>
      <c r="AY86" s="103" t="s">
        <v>287</v>
      </c>
      <c r="AZ86" s="103" t="s">
        <v>584</v>
      </c>
      <c r="BA86" s="103" t="s">
        <v>66</v>
      </c>
      <c r="BB86" s="298">
        <v>129209</v>
      </c>
      <c r="BE86" s="70"/>
      <c r="BF86" s="246"/>
    </row>
    <row r="87" spans="1:58" ht="12.75">
      <c r="A87" s="3"/>
      <c r="B87" s="12"/>
      <c r="C87" s="3"/>
      <c r="AY87" s="103" t="s">
        <v>290</v>
      </c>
      <c r="AZ87" s="103" t="s">
        <v>585</v>
      </c>
      <c r="BA87" s="103" t="s">
        <v>66</v>
      </c>
      <c r="BB87" s="298">
        <v>522776</v>
      </c>
      <c r="BE87" s="70"/>
      <c r="BF87" s="246"/>
    </row>
    <row r="88" spans="1:58" ht="12.75">
      <c r="A88" s="3"/>
      <c r="B88" s="12"/>
      <c r="C88" s="3"/>
      <c r="AY88" s="103" t="s">
        <v>259</v>
      </c>
      <c r="AZ88" s="103" t="s">
        <v>586</v>
      </c>
      <c r="BA88" s="103" t="s">
        <v>66</v>
      </c>
      <c r="BB88" s="298">
        <v>368905</v>
      </c>
      <c r="BE88" s="70"/>
      <c r="BF88" s="238"/>
    </row>
    <row r="89" spans="1:58" ht="12.75">
      <c r="A89" s="3"/>
      <c r="B89" s="12"/>
      <c r="C89" s="3"/>
      <c r="AY89" s="103" t="s">
        <v>185</v>
      </c>
      <c r="AZ89" s="103" t="s">
        <v>587</v>
      </c>
      <c r="BA89" s="103" t="s">
        <v>66</v>
      </c>
      <c r="BB89" s="298">
        <v>239319</v>
      </c>
      <c r="BE89" s="70"/>
      <c r="BF89" s="238"/>
    </row>
    <row r="90" spans="1:58" ht="12.75">
      <c r="A90" s="3"/>
      <c r="B90" s="12"/>
      <c r="C90" s="3"/>
      <c r="AY90" s="103" t="s">
        <v>188</v>
      </c>
      <c r="AZ90" s="103" t="s">
        <v>588</v>
      </c>
      <c r="BA90" s="103" t="s">
        <v>66</v>
      </c>
      <c r="BB90" s="298">
        <v>131791</v>
      </c>
      <c r="BE90" s="70"/>
      <c r="BF90" s="238"/>
    </row>
    <row r="91" spans="1:58" ht="12.75">
      <c r="A91" s="3"/>
      <c r="B91" s="12"/>
      <c r="C91" s="3"/>
      <c r="AY91" s="103" t="s">
        <v>196</v>
      </c>
      <c r="AZ91" s="103" t="s">
        <v>589</v>
      </c>
      <c r="BA91" s="103" t="s">
        <v>66</v>
      </c>
      <c r="BB91" s="298">
        <v>461070</v>
      </c>
      <c r="BE91" s="244"/>
      <c r="BF91" s="246"/>
    </row>
    <row r="92" spans="1:58" ht="12.75">
      <c r="A92" s="3"/>
      <c r="B92" s="12"/>
      <c r="C92" s="3"/>
      <c r="AY92" s="103" t="s">
        <v>200</v>
      </c>
      <c r="AZ92" s="103" t="s">
        <v>590</v>
      </c>
      <c r="BA92" s="103" t="s">
        <v>66</v>
      </c>
      <c r="BB92" s="298">
        <v>312763</v>
      </c>
      <c r="BE92" s="244"/>
      <c r="BF92" s="246"/>
    </row>
    <row r="93" spans="1:58" ht="12.75">
      <c r="A93" s="3"/>
      <c r="B93" s="12"/>
      <c r="C93" s="3"/>
      <c r="AY93" s="103" t="s">
        <v>193</v>
      </c>
      <c r="AZ93" s="103" t="s">
        <v>591</v>
      </c>
      <c r="BA93" s="103" t="s">
        <v>66</v>
      </c>
      <c r="BB93" s="298">
        <v>133795</v>
      </c>
      <c r="BF93" s="249"/>
    </row>
    <row r="94" spans="1:58" ht="12.75">
      <c r="A94" s="3"/>
      <c r="B94" s="12"/>
      <c r="C94" s="3"/>
      <c r="AY94" s="103" t="s">
        <v>182</v>
      </c>
      <c r="AZ94" s="103" t="s">
        <v>592</v>
      </c>
      <c r="BA94" s="103" t="s">
        <v>66</v>
      </c>
      <c r="BB94" s="298">
        <v>181868</v>
      </c>
      <c r="BE94" s="70"/>
      <c r="BF94" s="238"/>
    </row>
    <row r="95" spans="1:58" ht="12.75">
      <c r="A95" s="3"/>
      <c r="B95" s="12"/>
      <c r="C95" s="3"/>
      <c r="AY95" s="103" t="s">
        <v>190</v>
      </c>
      <c r="AZ95" s="103" t="s">
        <v>593</v>
      </c>
      <c r="BA95" s="103" t="s">
        <v>66</v>
      </c>
      <c r="BB95" s="298">
        <v>204306</v>
      </c>
      <c r="BE95" s="244"/>
      <c r="BF95" s="246"/>
    </row>
    <row r="96" spans="1:58" ht="12.75">
      <c r="A96" s="3"/>
      <c r="B96" s="12"/>
      <c r="C96" s="3"/>
      <c r="AY96" s="103" t="s">
        <v>194</v>
      </c>
      <c r="AZ96" s="103" t="s">
        <v>594</v>
      </c>
      <c r="BA96" s="103" t="s">
        <v>66</v>
      </c>
      <c r="BB96" s="298">
        <v>183653</v>
      </c>
      <c r="BE96" s="240"/>
      <c r="BF96" s="235"/>
    </row>
    <row r="97" spans="1:58" ht="12.75">
      <c r="A97" s="3"/>
      <c r="B97" s="12"/>
      <c r="C97" s="3"/>
      <c r="AY97" s="103" t="s">
        <v>181</v>
      </c>
      <c r="AZ97" s="103" t="s">
        <v>595</v>
      </c>
      <c r="BA97" s="103" t="s">
        <v>66</v>
      </c>
      <c r="BB97" s="298">
        <v>171390</v>
      </c>
      <c r="BE97" s="240"/>
      <c r="BF97" s="235"/>
    </row>
    <row r="98" spans="1:58" ht="12.75">
      <c r="A98" s="3"/>
      <c r="B98" s="12"/>
      <c r="C98" s="3"/>
      <c r="AY98" s="103" t="s">
        <v>198</v>
      </c>
      <c r="AZ98" s="103" t="s">
        <v>596</v>
      </c>
      <c r="BA98" s="103" t="s">
        <v>66</v>
      </c>
      <c r="BB98" s="298">
        <v>530073</v>
      </c>
      <c r="BE98" s="245"/>
      <c r="BF98" s="238"/>
    </row>
    <row r="99" spans="1:58" ht="12.75">
      <c r="A99" s="3"/>
      <c r="B99" s="12"/>
      <c r="C99" s="3"/>
      <c r="AY99" s="103" t="s">
        <v>187</v>
      </c>
      <c r="AZ99" s="103" t="s">
        <v>597</v>
      </c>
      <c r="BA99" s="103" t="s">
        <v>66</v>
      </c>
      <c r="BB99" s="298">
        <v>296370</v>
      </c>
      <c r="BE99" s="70"/>
      <c r="BF99" s="246"/>
    </row>
    <row r="100" spans="1:58" ht="12.75">
      <c r="A100" s="3"/>
      <c r="B100" s="12"/>
      <c r="C100" s="3"/>
      <c r="AY100" s="103" t="s">
        <v>199</v>
      </c>
      <c r="AZ100" s="103" t="s">
        <v>598</v>
      </c>
      <c r="BA100" s="103" t="s">
        <v>66</v>
      </c>
      <c r="BB100" s="298">
        <v>235280</v>
      </c>
      <c r="BE100" s="70"/>
      <c r="BF100" s="246"/>
    </row>
    <row r="101" spans="51:58" ht="12.75">
      <c r="AY101" s="103" t="s">
        <v>191</v>
      </c>
      <c r="AZ101" s="103" t="s">
        <v>599</v>
      </c>
      <c r="BA101" s="103" t="s">
        <v>66</v>
      </c>
      <c r="BB101" s="298">
        <v>208299</v>
      </c>
      <c r="BE101" s="234"/>
      <c r="BF101" s="235"/>
    </row>
    <row r="102" spans="51:58" ht="12.75">
      <c r="AY102" s="103" t="s">
        <v>195</v>
      </c>
      <c r="AZ102" s="103" t="s">
        <v>600</v>
      </c>
      <c r="BA102" s="103" t="s">
        <v>66</v>
      </c>
      <c r="BB102" s="298">
        <v>271512</v>
      </c>
      <c r="BE102" s="234"/>
      <c r="BF102" s="235"/>
    </row>
    <row r="103" spans="51:58" ht="12.75">
      <c r="AY103" s="103" t="s">
        <v>183</v>
      </c>
      <c r="AZ103" s="103" t="s">
        <v>601</v>
      </c>
      <c r="BA103" s="103" t="s">
        <v>66</v>
      </c>
      <c r="BB103" s="298">
        <v>292433</v>
      </c>
      <c r="BE103" s="70"/>
      <c r="BF103" s="236"/>
    </row>
    <row r="104" spans="51:58" ht="12.75">
      <c r="AY104" s="103" t="s">
        <v>192</v>
      </c>
      <c r="AZ104" s="103" t="s">
        <v>602</v>
      </c>
      <c r="BA104" s="103" t="s">
        <v>66</v>
      </c>
      <c r="BB104" s="298">
        <v>144593</v>
      </c>
      <c r="BF104" s="249"/>
    </row>
    <row r="105" spans="51:58" ht="12.75">
      <c r="AY105" s="103" t="s">
        <v>189</v>
      </c>
      <c r="AZ105" s="103" t="s">
        <v>603</v>
      </c>
      <c r="BA105" s="103" t="s">
        <v>66</v>
      </c>
      <c r="BB105" s="298">
        <v>278090</v>
      </c>
      <c r="BE105" s="234"/>
      <c r="BF105" s="235"/>
    </row>
    <row r="106" spans="51:58" ht="12.75">
      <c r="AY106" s="103" t="s">
        <v>186</v>
      </c>
      <c r="AZ106" s="103" t="s">
        <v>604</v>
      </c>
      <c r="BA106" s="103" t="s">
        <v>66</v>
      </c>
      <c r="BB106" s="298">
        <v>172024</v>
      </c>
      <c r="BF106" s="249"/>
    </row>
    <row r="107" spans="51:58" ht="12.75">
      <c r="AY107" s="103" t="s">
        <v>201</v>
      </c>
      <c r="AZ107" s="103" t="s">
        <v>605</v>
      </c>
      <c r="BA107" s="103" t="s">
        <v>66</v>
      </c>
      <c r="BB107" s="298">
        <v>268758</v>
      </c>
      <c r="BF107" s="249"/>
    </row>
    <row r="108" spans="51:58" ht="12.75">
      <c r="AY108" s="103" t="s">
        <v>202</v>
      </c>
      <c r="AZ108" s="103" t="s">
        <v>606</v>
      </c>
      <c r="BA108" s="103" t="s">
        <v>66</v>
      </c>
      <c r="BB108" s="298">
        <v>260354</v>
      </c>
      <c r="BE108" s="70"/>
      <c r="BF108" s="236"/>
    </row>
    <row r="109" spans="51:58" ht="12.75">
      <c r="AY109" s="103" t="s">
        <v>184</v>
      </c>
      <c r="AZ109" s="103" t="s">
        <v>607</v>
      </c>
      <c r="BA109" s="103" t="s">
        <v>66</v>
      </c>
      <c r="BB109" s="298">
        <v>112154</v>
      </c>
      <c r="BE109" s="234"/>
      <c r="BF109" s="235"/>
    </row>
    <row r="110" spans="51:58" ht="12.75">
      <c r="AY110" s="103" t="s">
        <v>260</v>
      </c>
      <c r="AZ110" s="103" t="s">
        <v>608</v>
      </c>
      <c r="BA110" s="103" t="s">
        <v>66</v>
      </c>
      <c r="BB110" s="298">
        <v>430680</v>
      </c>
      <c r="BE110" s="70"/>
      <c r="BF110" s="246"/>
    </row>
    <row r="111" spans="51:58" ht="12.75">
      <c r="AY111" s="103" t="s">
        <v>253</v>
      </c>
      <c r="AZ111" s="103" t="s">
        <v>609</v>
      </c>
      <c r="BA111" s="103" t="s">
        <v>66</v>
      </c>
      <c r="BB111" s="298">
        <v>861759</v>
      </c>
      <c r="BE111" s="70"/>
      <c r="BF111" s="236"/>
    </row>
    <row r="112" spans="51:58" ht="12.75">
      <c r="AY112" s="103" t="s">
        <v>341</v>
      </c>
      <c r="AZ112" s="103" t="s">
        <v>610</v>
      </c>
      <c r="BA112" s="103" t="s">
        <v>66</v>
      </c>
      <c r="BB112" s="298">
        <v>563052</v>
      </c>
      <c r="BE112" s="247"/>
      <c r="BF112" s="246"/>
    </row>
    <row r="113" spans="51:58" ht="12.75">
      <c r="AY113" s="103" t="s">
        <v>289</v>
      </c>
      <c r="AZ113" s="103" t="s">
        <v>611</v>
      </c>
      <c r="BA113" s="103" t="s">
        <v>66</v>
      </c>
      <c r="BB113" s="298">
        <v>387143</v>
      </c>
      <c r="BE113" s="70"/>
      <c r="BF113" s="238"/>
    </row>
    <row r="114" spans="51:58" ht="12.75">
      <c r="AY114" s="103" t="s">
        <v>250</v>
      </c>
      <c r="AZ114" s="103" t="s">
        <v>612</v>
      </c>
      <c r="BA114" s="103" t="s">
        <v>66</v>
      </c>
      <c r="BB114" s="298">
        <v>230830</v>
      </c>
      <c r="BF114" s="238"/>
    </row>
    <row r="115" spans="51:58" ht="12.75">
      <c r="AY115" s="103" t="s">
        <v>282</v>
      </c>
      <c r="AZ115" s="103" t="s">
        <v>613</v>
      </c>
      <c r="BA115" s="103" t="s">
        <v>66</v>
      </c>
      <c r="BB115" s="298">
        <v>597224</v>
      </c>
      <c r="BE115" s="245"/>
      <c r="BF115" s="238"/>
    </row>
    <row r="116" spans="51:58" ht="12.75">
      <c r="AY116" s="103" t="s">
        <v>297</v>
      </c>
      <c r="AZ116" s="103" t="s">
        <v>614</v>
      </c>
      <c r="BA116" s="103" t="s">
        <v>66</v>
      </c>
      <c r="BB116" s="298">
        <v>213020</v>
      </c>
      <c r="BE116" s="70"/>
      <c r="BF116" s="236"/>
    </row>
    <row r="117" spans="51:58" ht="12.75">
      <c r="AY117" s="103" t="s">
        <v>263</v>
      </c>
      <c r="AZ117" s="103" t="s">
        <v>615</v>
      </c>
      <c r="BA117" s="103" t="s">
        <v>66</v>
      </c>
      <c r="BB117" s="298">
        <v>379032</v>
      </c>
      <c r="BE117" s="234"/>
      <c r="BF117" s="235"/>
    </row>
    <row r="118" spans="51:58" ht="12.75">
      <c r="AY118" s="103" t="s">
        <v>272</v>
      </c>
      <c r="AZ118" s="103" t="s">
        <v>616</v>
      </c>
      <c r="BA118" s="103" t="s">
        <v>66</v>
      </c>
      <c r="BB118" s="298">
        <v>327531</v>
      </c>
      <c r="BE118" s="70"/>
      <c r="BF118" s="236"/>
    </row>
    <row r="119" spans="51:58" ht="12.75">
      <c r="AY119" s="103" t="s">
        <v>342</v>
      </c>
      <c r="AZ119" s="103" t="s">
        <v>617</v>
      </c>
      <c r="BA119" s="103" t="s">
        <v>66</v>
      </c>
      <c r="BB119" s="298">
        <v>167483</v>
      </c>
      <c r="BE119" s="70"/>
      <c r="BF119" s="236"/>
    </row>
    <row r="120" spans="51:58" ht="12.75">
      <c r="AY120" s="103" t="s">
        <v>344</v>
      </c>
      <c r="AZ120" s="103" t="s">
        <v>618</v>
      </c>
      <c r="BA120" s="103" t="s">
        <v>66</v>
      </c>
      <c r="BB120" s="298">
        <v>204270</v>
      </c>
      <c r="BE120" s="70"/>
      <c r="BF120" s="236"/>
    </row>
    <row r="121" spans="51:58" ht="12.75">
      <c r="AY121" s="103" t="s">
        <v>343</v>
      </c>
      <c r="AZ121" s="103" t="s">
        <v>619</v>
      </c>
      <c r="BA121" s="103" t="s">
        <v>66</v>
      </c>
      <c r="BB121" s="298">
        <v>220178</v>
      </c>
      <c r="BE121" s="234"/>
      <c r="BF121" s="235"/>
    </row>
    <row r="122" spans="51:58" ht="12.75">
      <c r="AY122" s="103" t="s">
        <v>239</v>
      </c>
      <c r="AZ122" s="103" t="s">
        <v>620</v>
      </c>
      <c r="BA122" s="103" t="s">
        <v>66</v>
      </c>
      <c r="BB122" s="298">
        <v>151526</v>
      </c>
      <c r="BE122" s="70"/>
      <c r="BF122" s="246"/>
    </row>
    <row r="123" spans="51:58" ht="12.75">
      <c r="AY123" s="103" t="s">
        <v>262</v>
      </c>
      <c r="AZ123" s="103" t="s">
        <v>621</v>
      </c>
      <c r="BA123" s="103" t="s">
        <v>66</v>
      </c>
      <c r="BB123" s="298">
        <v>291230</v>
      </c>
      <c r="BF123" s="249"/>
    </row>
    <row r="124" spans="51:58" ht="12.75">
      <c r="AY124" s="103" t="s">
        <v>264</v>
      </c>
      <c r="AZ124" s="103" t="s">
        <v>622</v>
      </c>
      <c r="BA124" s="103" t="s">
        <v>66</v>
      </c>
      <c r="BB124" s="298">
        <v>164506</v>
      </c>
      <c r="BF124" s="249"/>
    </row>
    <row r="125" spans="51:58" ht="12.75">
      <c r="AY125" s="103" t="s">
        <v>273</v>
      </c>
      <c r="AZ125" s="103" t="s">
        <v>623</v>
      </c>
      <c r="BA125" s="103" t="s">
        <v>66</v>
      </c>
      <c r="BB125" s="298">
        <v>235721</v>
      </c>
      <c r="BE125" s="70"/>
      <c r="BF125" s="246"/>
    </row>
    <row r="126" spans="51:58" ht="12.75">
      <c r="AY126" s="103" t="s">
        <v>285</v>
      </c>
      <c r="AZ126" s="103" t="s">
        <v>624</v>
      </c>
      <c r="BA126" s="103" t="s">
        <v>66</v>
      </c>
      <c r="BB126" s="298">
        <v>201601</v>
      </c>
      <c r="BE126" s="70"/>
      <c r="BF126" s="236"/>
    </row>
    <row r="127" spans="51:58" ht="12.75">
      <c r="AY127" s="103" t="s">
        <v>247</v>
      </c>
      <c r="AZ127" s="103" t="s">
        <v>625</v>
      </c>
      <c r="BA127" s="103" t="s">
        <v>66</v>
      </c>
      <c r="BB127" s="298">
        <v>376153</v>
      </c>
      <c r="BF127" s="249"/>
    </row>
    <row r="128" spans="51:58" ht="12.75">
      <c r="AY128" s="103" t="s">
        <v>354</v>
      </c>
      <c r="AZ128" s="103" t="s">
        <v>626</v>
      </c>
      <c r="BA128" s="103" t="s">
        <v>66</v>
      </c>
      <c r="BB128" s="298">
        <v>228448</v>
      </c>
      <c r="BE128" s="247"/>
      <c r="BF128" s="246"/>
    </row>
    <row r="129" spans="51:58" ht="12.75">
      <c r="AY129" s="103" t="s">
        <v>256</v>
      </c>
      <c r="AZ129" s="103" t="s">
        <v>627</v>
      </c>
      <c r="BA129" s="103" t="s">
        <v>66</v>
      </c>
      <c r="BB129" s="298">
        <v>328780</v>
      </c>
      <c r="BE129" s="70"/>
      <c r="BF129" s="246"/>
    </row>
    <row r="130" spans="51:58" ht="12.75">
      <c r="AY130" s="103" t="s">
        <v>355</v>
      </c>
      <c r="AZ130" s="103" t="s">
        <v>628</v>
      </c>
      <c r="BA130" s="103" t="s">
        <v>66</v>
      </c>
      <c r="BB130" s="298">
        <v>314214</v>
      </c>
      <c r="BE130" s="70"/>
      <c r="BF130" s="246"/>
    </row>
    <row r="131" spans="51:58" ht="12.75">
      <c r="AY131" s="103" t="s">
        <v>346</v>
      </c>
      <c r="AZ131" s="103" t="s">
        <v>629</v>
      </c>
      <c r="BA131" s="103" t="s">
        <v>66</v>
      </c>
      <c r="BB131" s="298">
        <v>253416</v>
      </c>
      <c r="BE131" s="244"/>
      <c r="BF131" s="246"/>
    </row>
    <row r="132" spans="51:58" ht="12.75">
      <c r="AY132" s="103" t="s">
        <v>268</v>
      </c>
      <c r="AZ132" s="103" t="s">
        <v>630</v>
      </c>
      <c r="BA132" s="103" t="s">
        <v>66</v>
      </c>
      <c r="BB132" s="298">
        <v>285838</v>
      </c>
      <c r="BE132" s="244"/>
      <c r="BF132" s="246"/>
    </row>
    <row r="133" spans="51:58" ht="12.75">
      <c r="AY133" s="103" t="s">
        <v>368</v>
      </c>
      <c r="AZ133" s="103" t="s">
        <v>631</v>
      </c>
      <c r="BA133" s="103" t="s">
        <v>66</v>
      </c>
      <c r="BB133" s="298">
        <v>379319</v>
      </c>
      <c r="BE133" s="244"/>
      <c r="BF133" s="248"/>
    </row>
    <row r="134" spans="51:58" ht="12.75">
      <c r="AY134" s="103" t="s">
        <v>284</v>
      </c>
      <c r="AZ134" s="103" t="s">
        <v>632</v>
      </c>
      <c r="BA134" s="103" t="s">
        <v>66</v>
      </c>
      <c r="BB134" s="298">
        <v>386580</v>
      </c>
      <c r="BE134" s="240"/>
      <c r="BF134" s="235"/>
    </row>
    <row r="135" spans="51:58" ht="12.75">
      <c r="AY135" s="103" t="s">
        <v>240</v>
      </c>
      <c r="AZ135" s="103" t="s">
        <v>633</v>
      </c>
      <c r="BA135" t="s">
        <v>66</v>
      </c>
      <c r="BB135" s="298">
        <v>287939</v>
      </c>
      <c r="BE135" s="247"/>
      <c r="BF135" s="246"/>
    </row>
    <row r="136" spans="51:58" ht="12.75">
      <c r="AY136" s="103" t="s">
        <v>308</v>
      </c>
      <c r="AZ136" s="103" t="s">
        <v>634</v>
      </c>
      <c r="BA136" s="103" t="s">
        <v>66</v>
      </c>
      <c r="BB136" s="298">
        <v>278666</v>
      </c>
      <c r="BE136" s="234"/>
      <c r="BF136" s="235"/>
    </row>
    <row r="137" spans="51:58" ht="12.75">
      <c r="AY137" s="103" t="s">
        <v>296</v>
      </c>
      <c r="AZ137" s="103" t="s">
        <v>635</v>
      </c>
      <c r="BA137" s="103" t="s">
        <v>66</v>
      </c>
      <c r="BB137" s="298">
        <v>274754</v>
      </c>
      <c r="BF137" s="249"/>
    </row>
    <row r="138" spans="51:58" ht="12.75">
      <c r="AY138" s="103" t="s">
        <v>314</v>
      </c>
      <c r="AZ138" s="103" t="s">
        <v>636</v>
      </c>
      <c r="BA138" s="103" t="s">
        <v>66</v>
      </c>
      <c r="BB138" s="298">
        <v>194613</v>
      </c>
      <c r="BE138" s="70"/>
      <c r="BF138" s="236"/>
    </row>
    <row r="139" spans="51:58" ht="12.75">
      <c r="AY139" s="103" t="s">
        <v>288</v>
      </c>
      <c r="AZ139" s="103" t="s">
        <v>637</v>
      </c>
      <c r="BA139" s="103" t="s">
        <v>66</v>
      </c>
      <c r="BB139" s="298">
        <v>260695</v>
      </c>
      <c r="BE139" s="234"/>
      <c r="BF139" s="235"/>
    </row>
    <row r="140" spans="51:58" ht="12.75">
      <c r="AY140" s="103" t="s">
        <v>345</v>
      </c>
      <c r="AZ140" s="103" t="s">
        <v>638</v>
      </c>
      <c r="BA140" s="103" t="s">
        <v>66</v>
      </c>
      <c r="BB140" s="298">
        <v>224682</v>
      </c>
      <c r="BE140" s="70"/>
      <c r="BF140" s="236"/>
    </row>
    <row r="141" spans="51:58" ht="12.75">
      <c r="AY141" s="103" t="s">
        <v>251</v>
      </c>
      <c r="AZ141" s="103" t="s">
        <v>639</v>
      </c>
      <c r="BA141" s="103" t="s">
        <v>66</v>
      </c>
      <c r="BB141" s="298">
        <v>256079</v>
      </c>
      <c r="BE141" s="70"/>
      <c r="BF141" s="236"/>
    </row>
    <row r="142" spans="51:58" ht="12.75">
      <c r="AY142" s="103" t="s">
        <v>267</v>
      </c>
      <c r="AZ142" s="103" t="s">
        <v>640</v>
      </c>
      <c r="BA142" s="103" t="s">
        <v>66</v>
      </c>
      <c r="BB142" s="298">
        <v>280503</v>
      </c>
      <c r="BE142" s="70"/>
      <c r="BF142" s="238"/>
    </row>
    <row r="143" spans="51:58" ht="12.75">
      <c r="AY143" s="103" t="s">
        <v>279</v>
      </c>
      <c r="AZ143" s="103" t="s">
        <v>641</v>
      </c>
      <c r="BA143" s="103" t="s">
        <v>66</v>
      </c>
      <c r="BB143" s="298">
        <v>219251</v>
      </c>
      <c r="BE143" s="70"/>
      <c r="BF143" s="246"/>
    </row>
    <row r="144" spans="51:58" ht="12.75">
      <c r="AY144" s="103" t="s">
        <v>298</v>
      </c>
      <c r="AZ144" s="103" t="s">
        <v>642</v>
      </c>
      <c r="BA144" s="103" t="s">
        <v>66</v>
      </c>
      <c r="BB144" s="298">
        <v>187383</v>
      </c>
      <c r="BE144" s="70"/>
      <c r="BF144" s="238"/>
    </row>
    <row r="145" spans="51:58" ht="12.75">
      <c r="AY145" s="103" t="s">
        <v>235</v>
      </c>
      <c r="AZ145" s="103" t="s">
        <v>643</v>
      </c>
      <c r="BA145" s="103" t="s">
        <v>66</v>
      </c>
      <c r="BB145" s="298">
        <v>374678</v>
      </c>
      <c r="BE145" s="245"/>
      <c r="BF145" s="246"/>
    </row>
    <row r="146" spans="51:58" ht="12.75">
      <c r="AY146" s="103" t="s">
        <v>356</v>
      </c>
      <c r="AZ146" s="103" t="s">
        <v>644</v>
      </c>
      <c r="BA146" s="103" t="s">
        <v>66</v>
      </c>
      <c r="BB146" s="298">
        <v>299563</v>
      </c>
      <c r="BF146" s="249"/>
    </row>
    <row r="147" spans="51:58" ht="12.75">
      <c r="AY147" s="103" t="s">
        <v>258</v>
      </c>
      <c r="AZ147" s="103" t="s">
        <v>645</v>
      </c>
      <c r="BA147" s="103" t="s">
        <v>66</v>
      </c>
      <c r="BB147" s="298">
        <v>368016</v>
      </c>
      <c r="BF147" s="249"/>
    </row>
    <row r="148" spans="51:58" ht="12.75">
      <c r="AY148" s="103" t="s">
        <v>245</v>
      </c>
      <c r="AZ148" s="103" t="s">
        <v>646</v>
      </c>
      <c r="BA148" s="103" t="s">
        <v>66</v>
      </c>
      <c r="BB148" s="298">
        <v>287529</v>
      </c>
      <c r="BF148" s="249"/>
    </row>
    <row r="149" spans="51:58" ht="12.75">
      <c r="AY149" s="103" t="s">
        <v>283</v>
      </c>
      <c r="AZ149" s="103" t="s">
        <v>647</v>
      </c>
      <c r="BA149" s="103" t="s">
        <v>66</v>
      </c>
      <c r="BB149" s="298">
        <v>197994</v>
      </c>
      <c r="BE149" s="245"/>
      <c r="BF149" s="246"/>
    </row>
    <row r="150" spans="51:58" ht="12.75">
      <c r="AY150" s="103" t="s">
        <v>271</v>
      </c>
      <c r="AZ150" s="103" t="s">
        <v>648</v>
      </c>
      <c r="BA150" s="103" t="s">
        <v>66</v>
      </c>
      <c r="BB150" s="298">
        <v>327517</v>
      </c>
      <c r="BF150" s="249"/>
    </row>
    <row r="151" spans="51:58" ht="12.75">
      <c r="AY151" s="103" t="s">
        <v>369</v>
      </c>
      <c r="AZ151" s="103" t="s">
        <v>649</v>
      </c>
      <c r="BA151" s="103" t="s">
        <v>66</v>
      </c>
      <c r="BB151" s="298">
        <v>209261</v>
      </c>
      <c r="BF151" s="249"/>
    </row>
    <row r="152" spans="51:58" ht="12.75">
      <c r="AY152" s="103" t="s">
        <v>370</v>
      </c>
      <c r="AZ152" s="103" t="s">
        <v>650</v>
      </c>
      <c r="BA152" s="103" t="s">
        <v>66</v>
      </c>
      <c r="BB152" s="298">
        <v>184345</v>
      </c>
      <c r="BE152" s="247"/>
      <c r="BF152" s="236"/>
    </row>
    <row r="153" spans="51:58" ht="12.75">
      <c r="AY153" s="103" t="s">
        <v>257</v>
      </c>
      <c r="AZ153" s="103" t="s">
        <v>651</v>
      </c>
      <c r="BA153" s="103" t="s">
        <v>66</v>
      </c>
      <c r="BB153" s="298">
        <v>278239</v>
      </c>
      <c r="BF153" s="249"/>
    </row>
    <row r="154" spans="51:58" ht="12.75">
      <c r="AY154" s="103" t="s">
        <v>246</v>
      </c>
      <c r="AZ154" s="103" t="s">
        <v>652</v>
      </c>
      <c r="BA154" s="103" t="s">
        <v>66</v>
      </c>
      <c r="BB154" s="298">
        <v>293890</v>
      </c>
      <c r="BE154" s="234"/>
      <c r="BF154" s="235"/>
    </row>
    <row r="155" spans="51:58" ht="12.75">
      <c r="AY155" s="103" t="s">
        <v>281</v>
      </c>
      <c r="AZ155" s="103" t="s">
        <v>653</v>
      </c>
      <c r="BA155" s="103" t="s">
        <v>66</v>
      </c>
      <c r="BB155" s="298">
        <v>350283</v>
      </c>
      <c r="BE155" s="70"/>
      <c r="BF155" s="236"/>
    </row>
    <row r="156" spans="51:58" ht="12.75">
      <c r="AY156" s="103" t="s">
        <v>255</v>
      </c>
      <c r="AZ156" s="103" t="s">
        <v>654</v>
      </c>
      <c r="BA156" s="103" t="s">
        <v>66</v>
      </c>
      <c r="BB156" s="298">
        <v>219681</v>
      </c>
      <c r="BF156" s="249"/>
    </row>
    <row r="157" spans="51:58" ht="12.75">
      <c r="AY157" s="103" t="s">
        <v>274</v>
      </c>
      <c r="AZ157" s="103" t="s">
        <v>655</v>
      </c>
      <c r="BA157" s="103" t="s">
        <v>66</v>
      </c>
      <c r="BB157" s="298">
        <v>191568</v>
      </c>
      <c r="BF157" s="249"/>
    </row>
    <row r="158" spans="51:58" ht="12.75">
      <c r="AY158" s="103" t="s">
        <v>353</v>
      </c>
      <c r="AZ158" s="103" t="s">
        <v>656</v>
      </c>
      <c r="BA158" s="103" t="s">
        <v>66</v>
      </c>
      <c r="BB158" s="298">
        <v>123049</v>
      </c>
      <c r="BF158" s="249"/>
    </row>
    <row r="159" spans="51:58" ht="12.75">
      <c r="AY159" s="103" t="s">
        <v>243</v>
      </c>
      <c r="AZ159" s="103" t="s">
        <v>657</v>
      </c>
      <c r="BA159" s="103" t="s">
        <v>66</v>
      </c>
      <c r="BB159" s="298">
        <v>300515</v>
      </c>
      <c r="BF159" s="249"/>
    </row>
    <row r="160" spans="51:58" ht="12.75">
      <c r="AY160" s="103" t="s">
        <v>350</v>
      </c>
      <c r="AZ160" s="103" t="s">
        <v>658</v>
      </c>
      <c r="BA160" s="103" t="s">
        <v>66</v>
      </c>
      <c r="BB160" s="298">
        <v>212778</v>
      </c>
      <c r="BE160" s="70"/>
      <c r="BF160" s="236"/>
    </row>
    <row r="161" spans="51:58" ht="12.75">
      <c r="AY161" s="103" t="s">
        <v>244</v>
      </c>
      <c r="AZ161" s="103" t="s">
        <v>659</v>
      </c>
      <c r="BA161" s="103" t="s">
        <v>66</v>
      </c>
      <c r="BB161" s="298">
        <v>185366</v>
      </c>
      <c r="BE161" s="70"/>
      <c r="BF161" s="238"/>
    </row>
    <row r="162" spans="51:58" ht="12.75">
      <c r="AY162" s="103" t="s">
        <v>366</v>
      </c>
      <c r="AZ162" s="103" t="s">
        <v>660</v>
      </c>
      <c r="BA162" s="103" t="s">
        <v>66</v>
      </c>
      <c r="BB162" s="298">
        <v>486131</v>
      </c>
      <c r="BE162" s="234"/>
      <c r="BF162" s="235"/>
    </row>
    <row r="163" spans="51:58" ht="12.75">
      <c r="AY163" s="103" t="s">
        <v>266</v>
      </c>
      <c r="AZ163" s="103" t="s">
        <v>661</v>
      </c>
      <c r="BA163" s="103" t="s">
        <v>66</v>
      </c>
      <c r="BB163" s="298">
        <v>123717</v>
      </c>
      <c r="BE163" s="70"/>
      <c r="BF163" s="236"/>
    </row>
    <row r="164" spans="51:58" ht="12.75">
      <c r="AY164" s="103" t="s">
        <v>312</v>
      </c>
      <c r="AZ164" s="103" t="s">
        <v>662</v>
      </c>
      <c r="BA164" s="103" t="s">
        <v>66</v>
      </c>
      <c r="BB164" s="298">
        <v>246419</v>
      </c>
      <c r="BE164" s="245"/>
      <c r="BF164" s="238"/>
    </row>
    <row r="165" spans="51:58" ht="12.75">
      <c r="AY165" s="103" t="s">
        <v>357</v>
      </c>
      <c r="AZ165" s="103" t="s">
        <v>663</v>
      </c>
      <c r="BA165" s="103" t="s">
        <v>66</v>
      </c>
      <c r="BB165" s="298">
        <v>168051</v>
      </c>
      <c r="BF165" s="249"/>
    </row>
    <row r="166" spans="51:58" ht="12.75">
      <c r="AY166" s="103" t="s">
        <v>358</v>
      </c>
      <c r="AZ166" s="103" t="s">
        <v>664</v>
      </c>
      <c r="BA166" s="103" t="s">
        <v>66</v>
      </c>
      <c r="BB166" s="298">
        <v>212679</v>
      </c>
      <c r="BE166" s="70"/>
      <c r="BF166" s="246"/>
    </row>
    <row r="167" spans="51:58" ht="12.75">
      <c r="AY167" s="103" t="s">
        <v>348</v>
      </c>
      <c r="AZ167" s="103" t="s">
        <v>665</v>
      </c>
      <c r="BA167" s="103" t="s">
        <v>66</v>
      </c>
      <c r="BB167" s="298">
        <v>182204</v>
      </c>
      <c r="BF167" s="249"/>
    </row>
    <row r="168" spans="51:58" ht="12.75">
      <c r="AY168" s="103" t="s">
        <v>254</v>
      </c>
      <c r="AZ168" s="103" t="s">
        <v>666</v>
      </c>
      <c r="BA168" s="103" t="s">
        <v>66</v>
      </c>
      <c r="BB168" s="298">
        <v>275970</v>
      </c>
      <c r="BE168" s="234"/>
      <c r="BF168" s="235"/>
    </row>
    <row r="169" spans="51:58" ht="12.75">
      <c r="AY169" s="103" t="s">
        <v>367</v>
      </c>
      <c r="AZ169" s="103" t="s">
        <v>667</v>
      </c>
      <c r="BA169" s="103" t="s">
        <v>66</v>
      </c>
      <c r="BB169" s="298">
        <v>224363</v>
      </c>
      <c r="BE169" s="234"/>
      <c r="BF169" s="235"/>
    </row>
    <row r="170" spans="51:58" ht="12.75">
      <c r="AY170" s="103" t="s">
        <v>310</v>
      </c>
      <c r="AZ170" s="103" t="s">
        <v>668</v>
      </c>
      <c r="BA170" s="103" t="s">
        <v>66</v>
      </c>
      <c r="BB170" s="298">
        <v>349206</v>
      </c>
      <c r="BE170" s="70"/>
      <c r="BF170" s="238"/>
    </row>
    <row r="171" spans="51:58" ht="12.75">
      <c r="AY171" s="103" t="s">
        <v>349</v>
      </c>
      <c r="AZ171" s="103" t="s">
        <v>669</v>
      </c>
      <c r="BA171" s="103" t="s">
        <v>66</v>
      </c>
      <c r="BB171" s="298">
        <v>199887</v>
      </c>
      <c r="BE171" s="70"/>
      <c r="BF171" s="236"/>
    </row>
    <row r="172" spans="51:58" ht="12.75">
      <c r="AY172" s="103" t="s">
        <v>360</v>
      </c>
      <c r="AZ172" s="103" t="s">
        <v>670</v>
      </c>
      <c r="BA172" s="103" t="s">
        <v>66</v>
      </c>
      <c r="BB172" s="298">
        <v>90403</v>
      </c>
      <c r="BE172" s="70"/>
      <c r="BF172" s="238"/>
    </row>
    <row r="173" spans="51:58" ht="12.75">
      <c r="AY173" s="103" t="s">
        <v>278</v>
      </c>
      <c r="AZ173" s="103" t="s">
        <v>671</v>
      </c>
      <c r="BA173" s="103" t="s">
        <v>66</v>
      </c>
      <c r="BB173" s="298">
        <v>108078</v>
      </c>
      <c r="BE173" s="70"/>
      <c r="BF173" s="236"/>
    </row>
    <row r="174" spans="51:58" ht="12.75">
      <c r="AY174" s="103" t="s">
        <v>352</v>
      </c>
      <c r="AZ174" s="103" t="s">
        <v>672</v>
      </c>
      <c r="BA174" s="103" t="s">
        <v>66</v>
      </c>
      <c r="BB174" s="298">
        <v>136220</v>
      </c>
      <c r="BF174" s="249"/>
    </row>
    <row r="175" spans="51:58" ht="12.75">
      <c r="AY175" s="103" t="s">
        <v>379</v>
      </c>
      <c r="AZ175" s="103" t="s">
        <v>673</v>
      </c>
      <c r="BA175" s="103" t="s">
        <v>66</v>
      </c>
      <c r="BB175" s="298">
        <v>136117</v>
      </c>
      <c r="BF175" s="249"/>
    </row>
    <row r="176" spans="51:58" ht="12.75">
      <c r="AY176" s="103" t="s">
        <v>242</v>
      </c>
      <c r="AZ176" s="103" t="s">
        <v>674</v>
      </c>
      <c r="BA176" s="103" t="s">
        <v>66</v>
      </c>
      <c r="BB176" s="298">
        <v>298584</v>
      </c>
      <c r="BE176" s="234"/>
      <c r="BF176" s="235"/>
    </row>
    <row r="177" spans="51:58" ht="12.75">
      <c r="AY177" s="103" t="s">
        <v>376</v>
      </c>
      <c r="AZ177" s="103" t="s">
        <v>675</v>
      </c>
      <c r="BA177" s="103" t="s">
        <v>66</v>
      </c>
      <c r="BB177" s="298">
        <v>213947</v>
      </c>
      <c r="BE177" s="234"/>
      <c r="BF177" s="235"/>
    </row>
    <row r="178" spans="51:58" ht="12.75">
      <c r="AY178" s="103" t="s">
        <v>374</v>
      </c>
      <c r="AZ178" s="103" t="s">
        <v>676</v>
      </c>
      <c r="BA178" s="103" t="s">
        <v>66</v>
      </c>
      <c r="BB178" s="298">
        <v>199679</v>
      </c>
      <c r="BE178" s="70"/>
      <c r="BF178" s="238"/>
    </row>
    <row r="179" spans="51:58" ht="12.75">
      <c r="AY179" s="103" t="s">
        <v>378</v>
      </c>
      <c r="AZ179" s="103" t="s">
        <v>677</v>
      </c>
      <c r="BA179" s="103" t="s">
        <v>157</v>
      </c>
      <c r="BB179" s="298">
        <v>140954</v>
      </c>
      <c r="BF179" s="249"/>
    </row>
    <row r="180" spans="51:58" ht="12.75">
      <c r="AY180" s="103" t="s">
        <v>377</v>
      </c>
      <c r="AZ180" s="103" t="s">
        <v>678</v>
      </c>
      <c r="BA180" s="103" t="s">
        <v>66</v>
      </c>
      <c r="BB180" s="298">
        <v>113978</v>
      </c>
      <c r="BE180" s="244"/>
      <c r="BF180" s="246"/>
    </row>
    <row r="181" spans="51:58" ht="12.75">
      <c r="AY181" s="103" t="s">
        <v>381</v>
      </c>
      <c r="AZ181" s="103" t="s">
        <v>679</v>
      </c>
      <c r="BA181" s="103" t="s">
        <v>66</v>
      </c>
      <c r="BB181" s="298">
        <v>107019</v>
      </c>
      <c r="BF181" s="249"/>
    </row>
    <row r="182" spans="51:58" ht="12.75">
      <c r="AY182" s="103" t="s">
        <v>383</v>
      </c>
      <c r="AZ182" s="103" t="s">
        <v>680</v>
      </c>
      <c r="BA182" s="103" t="s">
        <v>157</v>
      </c>
      <c r="BB182" s="298">
        <v>681439</v>
      </c>
      <c r="BF182" s="249"/>
    </row>
    <row r="183" spans="51:58" ht="12.75">
      <c r="AY183" s="103" t="s">
        <v>300</v>
      </c>
      <c r="AZ183" s="103" t="s">
        <v>681</v>
      </c>
      <c r="BA183" s="103" t="s">
        <v>66</v>
      </c>
      <c r="BB183" s="298">
        <v>216450</v>
      </c>
      <c r="BE183" s="70"/>
      <c r="BF183" s="238"/>
    </row>
    <row r="184" spans="51:58" ht="12.75">
      <c r="AY184" s="103" t="s">
        <v>261</v>
      </c>
      <c r="AZ184" s="103" t="s">
        <v>682</v>
      </c>
      <c r="BA184" s="103" t="s">
        <v>66</v>
      </c>
      <c r="BB184" s="298">
        <v>143386</v>
      </c>
      <c r="BE184" s="70"/>
      <c r="BF184" s="238"/>
    </row>
    <row r="185" spans="51:58" ht="12.75">
      <c r="AY185" s="103" t="s">
        <v>286</v>
      </c>
      <c r="AZ185" s="103" t="s">
        <v>683</v>
      </c>
      <c r="BA185" s="103" t="s">
        <v>66</v>
      </c>
      <c r="BB185" s="298">
        <v>203460</v>
      </c>
      <c r="BF185" s="249"/>
    </row>
    <row r="186" spans="51:58" ht="12.75">
      <c r="AY186" s="103" t="s">
        <v>299</v>
      </c>
      <c r="AZ186" s="103" t="s">
        <v>684</v>
      </c>
      <c r="BA186" s="103" t="s">
        <v>66</v>
      </c>
      <c r="BB186" s="298">
        <v>121932</v>
      </c>
      <c r="BF186" s="249"/>
    </row>
    <row r="187" spans="51:58" ht="12.75">
      <c r="AY187" s="103" t="s">
        <v>373</v>
      </c>
      <c r="AZ187" s="103" t="s">
        <v>685</v>
      </c>
      <c r="BA187" s="103" t="s">
        <v>66</v>
      </c>
      <c r="BB187" s="298">
        <v>265148</v>
      </c>
      <c r="BE187" s="234"/>
      <c r="BF187" s="235"/>
    </row>
    <row r="188" spans="51:58" ht="12.75">
      <c r="AY188" s="103" t="s">
        <v>292</v>
      </c>
      <c r="AZ188" s="103" t="s">
        <v>686</v>
      </c>
      <c r="BA188" s="103" t="s">
        <v>66</v>
      </c>
      <c r="BB188" s="298">
        <v>198019</v>
      </c>
      <c r="BF188" s="238"/>
    </row>
    <row r="189" spans="51:58" ht="12.75">
      <c r="AY189" s="103" t="s">
        <v>375</v>
      </c>
      <c r="AZ189" s="103" t="s">
        <v>687</v>
      </c>
      <c r="BA189" s="103" t="s">
        <v>66</v>
      </c>
      <c r="BB189" s="298">
        <v>539951</v>
      </c>
      <c r="BF189" s="238"/>
    </row>
    <row r="190" spans="51:58" ht="12.75">
      <c r="AY190" s="103" t="s">
        <v>270</v>
      </c>
      <c r="AZ190" s="103" t="s">
        <v>688</v>
      </c>
      <c r="BA190" s="103" t="s">
        <v>66</v>
      </c>
      <c r="BB190" s="298">
        <v>150550</v>
      </c>
      <c r="BE190" s="234"/>
      <c r="BF190" s="235"/>
    </row>
    <row r="191" spans="51:58" ht="12.75">
      <c r="AY191" s="103" t="s">
        <v>380</v>
      </c>
      <c r="AZ191" s="103" t="s">
        <v>689</v>
      </c>
      <c r="BA191" s="103" t="s">
        <v>66</v>
      </c>
      <c r="BB191" s="298">
        <v>154220</v>
      </c>
      <c r="BE191" s="70"/>
      <c r="BF191" s="236"/>
    </row>
    <row r="192" spans="51:58" ht="12.75">
      <c r="AY192" s="103" t="s">
        <v>172</v>
      </c>
      <c r="AZ192" s="103" t="s">
        <v>690</v>
      </c>
      <c r="BA192" s="103" t="s">
        <v>66</v>
      </c>
      <c r="BB192" s="298">
        <v>197124</v>
      </c>
      <c r="BE192" s="70"/>
      <c r="BF192" s="236"/>
    </row>
    <row r="193" spans="51:58" ht="12.75">
      <c r="AY193" s="103" t="s">
        <v>173</v>
      </c>
      <c r="AZ193" s="103" t="s">
        <v>691</v>
      </c>
      <c r="BA193" s="103" t="s">
        <v>66</v>
      </c>
      <c r="BB193" s="298">
        <v>475661</v>
      </c>
      <c r="BE193" s="70"/>
      <c r="BF193" s="236"/>
    </row>
    <row r="194" spans="51:58" ht="12.75">
      <c r="AY194" s="103" t="s">
        <v>371</v>
      </c>
      <c r="AZ194" s="103" t="s">
        <v>692</v>
      </c>
      <c r="BA194" s="103" t="s">
        <v>66</v>
      </c>
      <c r="BB194" s="298">
        <v>760798</v>
      </c>
      <c r="BE194" s="70"/>
      <c r="BF194" s="236"/>
    </row>
    <row r="195" spans="51:58" ht="12.75">
      <c r="AY195" s="103" t="s">
        <v>179</v>
      </c>
      <c r="AZ195" s="103" t="s">
        <v>693</v>
      </c>
      <c r="BA195" s="103" t="s">
        <v>66</v>
      </c>
      <c r="BB195" s="298">
        <v>614551</v>
      </c>
      <c r="BE195" s="70"/>
      <c r="BF195" s="236"/>
    </row>
    <row r="196" spans="51:58" ht="12.75">
      <c r="AY196" s="103" t="s">
        <v>176</v>
      </c>
      <c r="AZ196" s="103" t="s">
        <v>694</v>
      </c>
      <c r="BA196" s="103" t="s">
        <v>66</v>
      </c>
      <c r="BB196" s="298">
        <v>555618</v>
      </c>
      <c r="BE196" s="70"/>
      <c r="BF196" s="236"/>
    </row>
    <row r="197" spans="51:58" ht="12.75">
      <c r="AY197" s="103" t="s">
        <v>174</v>
      </c>
      <c r="AZ197" s="103" t="s">
        <v>695</v>
      </c>
      <c r="BA197" s="103" t="s">
        <v>66</v>
      </c>
      <c r="BB197" s="298">
        <v>209917</v>
      </c>
      <c r="BE197" s="70"/>
      <c r="BF197" s="236"/>
    </row>
    <row r="198" spans="51:58" ht="12.75">
      <c r="AY198" s="103" t="s">
        <v>180</v>
      </c>
      <c r="AZ198" s="103" t="s">
        <v>696</v>
      </c>
      <c r="BA198" s="103" t="s">
        <v>66</v>
      </c>
      <c r="BB198" s="298">
        <v>543498</v>
      </c>
      <c r="BF198" s="249"/>
    </row>
    <row r="199" spans="51:58" ht="12.75">
      <c r="AY199" s="103" t="s">
        <v>175</v>
      </c>
      <c r="AZ199" s="103" t="s">
        <v>697</v>
      </c>
      <c r="BA199" s="103" t="s">
        <v>66</v>
      </c>
      <c r="BB199" s="298">
        <v>256061</v>
      </c>
      <c r="BE199" s="70"/>
      <c r="BF199" s="238"/>
    </row>
    <row r="200" spans="51:58" ht="12.75">
      <c r="AY200" s="103" t="s">
        <v>241</v>
      </c>
      <c r="AZ200" s="103" t="s">
        <v>698</v>
      </c>
      <c r="BA200" s="103" t="s">
        <v>157</v>
      </c>
      <c r="BB200" s="298">
        <v>221360</v>
      </c>
      <c r="BE200" s="70"/>
      <c r="BF200" s="236"/>
    </row>
    <row r="201" spans="51:58" ht="12.75">
      <c r="AY201" s="103" t="s">
        <v>214</v>
      </c>
      <c r="AZ201" s="103" t="s">
        <v>699</v>
      </c>
      <c r="BA201" s="103" t="s">
        <v>66</v>
      </c>
      <c r="BB201" s="298">
        <v>331160</v>
      </c>
      <c r="BF201" s="249"/>
    </row>
    <row r="202" spans="51:58" ht="12.75">
      <c r="AY202" s="103" t="s">
        <v>197</v>
      </c>
      <c r="AZ202" s="103" t="s">
        <v>700</v>
      </c>
      <c r="BA202" s="103" t="s">
        <v>66</v>
      </c>
      <c r="BB202" s="298">
        <v>723927</v>
      </c>
      <c r="BF202" s="249"/>
    </row>
    <row r="203" spans="51:58" ht="12.75">
      <c r="AY203" s="103" t="s">
        <v>209</v>
      </c>
      <c r="AZ203" s="103" t="s">
        <v>701</v>
      </c>
      <c r="BA203" s="103" t="s">
        <v>66</v>
      </c>
      <c r="BB203" s="298">
        <v>492711</v>
      </c>
      <c r="BF203" s="249"/>
    </row>
    <row r="204" spans="51:58" ht="12.75">
      <c r="AY204" s="103" t="s">
        <v>311</v>
      </c>
      <c r="AZ204" s="103" t="s">
        <v>702</v>
      </c>
      <c r="BA204" s="103" t="s">
        <v>66</v>
      </c>
      <c r="BB204" s="298">
        <v>214926</v>
      </c>
      <c r="BF204" s="249"/>
    </row>
    <row r="205" spans="51:58" ht="12.75">
      <c r="AY205" s="103" t="s">
        <v>334</v>
      </c>
      <c r="AZ205" s="103" t="s">
        <v>703</v>
      </c>
      <c r="BA205" s="103" t="s">
        <v>66</v>
      </c>
      <c r="BB205" s="298">
        <v>156440</v>
      </c>
      <c r="BE205" s="70"/>
      <c r="BF205" s="236"/>
    </row>
    <row r="206" spans="51:58" ht="12.75">
      <c r="AY206" s="103" t="s">
        <v>265</v>
      </c>
      <c r="AZ206" s="103" t="s">
        <v>704</v>
      </c>
      <c r="BA206" s="103" t="s">
        <v>66</v>
      </c>
      <c r="BB206" s="298">
        <v>262252</v>
      </c>
      <c r="BE206" s="70"/>
      <c r="BF206" s="237"/>
    </row>
    <row r="207" spans="51:58" ht="12.75">
      <c r="AY207" s="103" t="s">
        <v>277</v>
      </c>
      <c r="AZ207" s="103" t="s">
        <v>705</v>
      </c>
      <c r="BA207" s="103" t="s">
        <v>66</v>
      </c>
      <c r="BB207" s="298">
        <v>177806</v>
      </c>
      <c r="BE207" s="234"/>
      <c r="BF207" s="239"/>
    </row>
    <row r="208" spans="51:58" ht="12.75">
      <c r="AY208" s="103" t="s">
        <v>294</v>
      </c>
      <c r="AZ208" s="103" t="s">
        <v>706</v>
      </c>
      <c r="BA208" s="103" t="s">
        <v>66</v>
      </c>
      <c r="BB208" s="298">
        <v>184659</v>
      </c>
      <c r="BE208" s="234"/>
      <c r="BF208" s="239"/>
    </row>
    <row r="209" spans="51:58" ht="12.75">
      <c r="AY209" s="103" t="s">
        <v>359</v>
      </c>
      <c r="AZ209" s="103" t="s">
        <v>707</v>
      </c>
      <c r="BA209" s="103" t="s">
        <v>66</v>
      </c>
      <c r="BB209" s="298">
        <v>289448</v>
      </c>
      <c r="BE209" s="234"/>
      <c r="BF209" s="239"/>
    </row>
    <row r="210" spans="51:58" ht="12.75">
      <c r="AY210" s="103" t="s">
        <v>351</v>
      </c>
      <c r="AZ210" s="103" t="s">
        <v>708</v>
      </c>
      <c r="BA210" s="103" t="s">
        <v>66</v>
      </c>
      <c r="BB210" s="298">
        <v>466241</v>
      </c>
      <c r="BE210" s="234"/>
      <c r="BF210" s="239"/>
    </row>
    <row r="211" spans="51:58" ht="12.75">
      <c r="AY211" s="103" t="s">
        <v>347</v>
      </c>
      <c r="AZ211" s="103" t="s">
        <v>709</v>
      </c>
      <c r="BA211" s="103" t="s">
        <v>66</v>
      </c>
      <c r="BB211" s="298">
        <v>164555</v>
      </c>
      <c r="BE211" s="234"/>
      <c r="BF211" s="239"/>
    </row>
    <row r="212" spans="51:58" ht="12.75">
      <c r="AY212" s="103" t="s">
        <v>361</v>
      </c>
      <c r="AZ212" s="103" t="s">
        <v>710</v>
      </c>
      <c r="BA212" s="103" t="s">
        <v>66</v>
      </c>
      <c r="BB212" s="298">
        <v>216963</v>
      </c>
      <c r="BE212" s="234"/>
      <c r="BF212" s="239"/>
    </row>
    <row r="213" spans="51:58" ht="12.75">
      <c r="AY213" s="103" t="s">
        <v>372</v>
      </c>
      <c r="AZ213" s="103" t="s">
        <v>711</v>
      </c>
      <c r="BA213" s="103" t="s">
        <v>66</v>
      </c>
      <c r="BB213" s="298">
        <v>447767</v>
      </c>
      <c r="BE213" s="234"/>
      <c r="BF213" s="235"/>
    </row>
    <row r="214" spans="51:58" ht="12.75">
      <c r="AY214" s="103" t="s">
        <v>177</v>
      </c>
      <c r="AZ214" s="103" t="s">
        <v>712</v>
      </c>
      <c r="BA214" s="103" t="s">
        <v>66</v>
      </c>
      <c r="BB214" s="298">
        <v>901403</v>
      </c>
      <c r="BE214" s="234"/>
      <c r="BF214" s="235"/>
    </row>
    <row r="215" spans="51:58" ht="12.75">
      <c r="AY215" s="103" t="s">
        <v>178</v>
      </c>
      <c r="AZ215" s="103" t="s">
        <v>713</v>
      </c>
      <c r="BA215" s="103" t="s">
        <v>66</v>
      </c>
      <c r="BB215" s="298">
        <v>274473</v>
      </c>
      <c r="BE215" s="234"/>
      <c r="BF215" s="235"/>
    </row>
    <row r="216" spans="51:58" ht="12.75">
      <c r="AY216" s="103" t="s">
        <v>24</v>
      </c>
      <c r="AZ216" s="103" t="s">
        <v>24</v>
      </c>
      <c r="BA216" s="103" t="s">
        <v>66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INDEX(A5:A13,A4)</f>
        <v>(H81130) ALL SAINTS HOUSE</v>
      </c>
      <c r="B3" s="56" t="s">
        <v>670</v>
      </c>
      <c r="C3" s="56" t="s">
        <v>24</v>
      </c>
    </row>
    <row r="4" spans="1:2" ht="12.75">
      <c r="A4" s="76">
        <v>1</v>
      </c>
      <c r="B4" s="78" t="s">
        <v>360</v>
      </c>
    </row>
    <row r="5" ht="12.75">
      <c r="A5" s="277" t="s">
        <v>364</v>
      </c>
    </row>
    <row r="6" ht="12.75">
      <c r="A6" s="277" t="s">
        <v>739</v>
      </c>
    </row>
    <row r="7" ht="12.75">
      <c r="A7" s="277" t="s">
        <v>158</v>
      </c>
    </row>
    <row r="8" ht="12.75">
      <c r="A8" s="277" t="s">
        <v>363</v>
      </c>
    </row>
    <row r="9" ht="12.75">
      <c r="A9" s="277" t="s">
        <v>161</v>
      </c>
    </row>
    <row r="10" ht="12.75">
      <c r="A10" s="277" t="s">
        <v>159</v>
      </c>
    </row>
    <row r="11" ht="12.75">
      <c r="A11" s="277" t="s">
        <v>160</v>
      </c>
    </row>
    <row r="12" ht="12.75">
      <c r="A12" s="277" t="s">
        <v>365</v>
      </c>
    </row>
    <row r="13" ht="12.75">
      <c r="A13" s="277" t="s">
        <v>362</v>
      </c>
    </row>
    <row r="14" ht="12.75">
      <c r="A14" s="277"/>
    </row>
    <row r="15" ht="12.75">
      <c r="A15" s="277"/>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