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<sst xmlns="http://schemas.openxmlformats.org/spreadsheetml/2006/main" count="1652" uniqueCount="602">
  <si>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</si>
  <si>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</si>
  <si>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</si>
  <si>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</si>
  <si>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</si>
  <si>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</si>
  <si>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</si>
  <si>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</si>
  <si>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</si>
  <si>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</si>
  <si>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</si>
  <si>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</si>
  <si>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</si>
  <si>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</si>
  <si>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</si>
  <si>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</si>
  <si>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</si>
  <si>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</si>
  <si>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</si>
  <si>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</si>
  <si>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</si>
  <si>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</si>
  <si>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</si>
  <si>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</si>
  <si>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</si>
  <si>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</si>
  <si>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</si>
  <si>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</si>
  <si>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</si>
  <si>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</si>
  <si>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</si>
  <si>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</si>
  <si>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</si>
  <si>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</si>
  <si>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</si>
  <si>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</si>
  <si>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</si>
  <si>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</si>
  <si>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</si>
  <si>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</si>
  <si>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</si>
  <si>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</si>
  <si>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</si>
  <si>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</si>
  <si>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</si>
  <si>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</si>
  <si>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</si>
  <si>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</si>
  <si>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</si>
  <si>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</si>
  <si>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</si>
  <si>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</si>
  <si>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</si>
  <si>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</si>
  <si>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</si>
  <si>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</si>
  <si>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</si>
  <si>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</si>
  <si>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</si>
  <si>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</si>
  <si>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</si>
  <si>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</si>
  <si>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</si>
  <si>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</si>
  <si>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</si>
  <si>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</si>
  <si>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</si>
  <si>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</si>
  <si>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</si>
  <si>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</si>
  <si>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</si>
  <si>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</si>
  <si>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</si>
  <si>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</si>
  <si>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</si>
  <si>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</si>
  <si>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</si>
  <si>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</si>
  <si>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</si>
  <si>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</si>
  <si>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</si>
  <si>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</si>
  <si>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</si>
  <si>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</si>
  <si>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</si>
  <si>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</si>
  <si>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</si>
  <si>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</si>
  <si>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</si>
  <si>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</si>
  <si>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</si>
  <si>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</si>
  <si>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</si>
  <si>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</si>
  <si>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</si>
  <si>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</si>
  <si>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</si>
  <si>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</si>
  <si>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</si>
  <si>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</si>
  <si>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</si>
  <si>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</si>
  <si>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</si>
  <si>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</si>
  <si>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</si>
  <si>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</si>
  <si>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</si>
  <si>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</si>
  <si>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</si>
  <si>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</si>
  <si>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</si>
  <si>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</si>
  <si>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</si>
  <si>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</si>
  <si>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</si>
  <si>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</si>
  <si>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</si>
  <si>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</si>
  <si>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</si>
  <si>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</si>
  <si>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</si>
  <si>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</si>
  <si>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</si>
  <si>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</si>
  <si>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</si>
  <si>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</si>
  <si>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</si>
  <si>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</si>
  <si>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</si>
  <si>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</si>
  <si>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</si>
  <si>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</si>
  <si>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</si>
  <si>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</si>
  <si>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</si>
  <si>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</si>
  <si>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</si>
  <si>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</si>
  <si>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</si>
  <si>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</si>
  <si>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</si>
  <si>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</si>
  <si>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</si>
  <si>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</si>
  <si>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</si>
  <si>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</si>
  <si>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</si>
  <si>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</si>
  <si>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</si>
  <si>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</si>
  <si>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</si>
  <si>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</si>
  <si>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</si>
  <si>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</si>
  <si>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</si>
  <si>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</si>
  <si>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</si>
  <si>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</si>
  <si>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</si>
  <si>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</si>
  <si>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</si>
  <si>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</si>
  <si>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</si>
  <si>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</si>
  <si>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</si>
  <si>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</si>
  <si>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</si>
  <si>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</si>
  <si>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</si>
  <si>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</si>
  <si>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</si>
  <si>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</si>
  <si>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</si>
  <si>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</si>
  <si>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</si>
  <si>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</si>
  <si>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</si>
  <si>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</si>
  <si>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</si>
  <si>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</si>
  <si>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</si>
  <si>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</si>
  <si>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</si>
  <si>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</si>
  <si>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</si>
  <si>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</si>
  <si>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</si>
  <si>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</si>
  <si>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</si>
  <si>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</si>
  <si>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</si>
  <si>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</si>
  <si>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</si>
  <si>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</si>
  <si>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</si>
  <si>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</si>
  <si>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</si>
  <si>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</si>
  <si>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</si>
  <si>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</si>
  <si>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</si>
  <si>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</si>
  <si>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</si>
  <si>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</si>
  <si>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</si>
  <si>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</si>
  <si>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</si>
  <si>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</si>
  <si>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</si>
  <si>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</si>
  <si>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</si>
  <si>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</si>
  <si>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</si>
  <si>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</si>
  <si>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</si>
  <si>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</si>
  <si>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</si>
  <si>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</si>
  <si>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</si>
  <si>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</si>
  <si>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</si>
  <si>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</si>
  <si>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</si>
  <si>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</si>
  <si>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</si>
  <si>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</si>
  <si>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</si>
  <si>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</si>
  <si>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</si>
  <si>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</si>
  <si>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</si>
  <si>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</si>
  <si>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</si>
  <si>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</si>
  <si>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</si>
  <si>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</si>
  <si>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</si>
  <si>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</si>
  <si>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</si>
  <si>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</si>
  <si>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</si>
  <si>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</si>
  <si>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</si>
  <si>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</si>
  <si>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</si>
  <si>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</si>
  <si>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</si>
  <si>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</si>
  <si>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</si>
  <si>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</si>
  <si>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</si>
  <si>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</si>
  <si>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</si>
  <si>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</si>
  <si>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</si>
  <si>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</si>
  <si>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</si>
  <si>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</si>
  <si>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</si>
  <si>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</si>
  <si>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</si>
  <si>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</si>
  <si>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</si>
  <si>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</si>
  <si>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</si>
  <si>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</si>
  <si>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</si>
  <si>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</si>
  <si>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</si>
  <si>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</si>
  <si>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</si>
  <si>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</si>
  <si>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</si>
  <si>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</si>
  <si>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</si>
  <si>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</si>
  <si>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</si>
  <si>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</si>
  <si>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</si>
  <si>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</si>
  <si>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</si>
  <si>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</si>
  <si>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J83003</t>
  </si>
  <si>
    <t>J83004</t>
  </si>
  <si>
    <t>J83005</t>
  </si>
  <si>
    <t>J83006</t>
  </si>
  <si>
    <t>J83007</t>
  </si>
  <si>
    <t>J83008</t>
  </si>
  <si>
    <t>J83010</t>
  </si>
  <si>
    <t>J83011</t>
  </si>
  <si>
    <t>J83013</t>
  </si>
  <si>
    <t>J83014</t>
  </si>
  <si>
    <t>J83015</t>
  </si>
  <si>
    <t>J83016</t>
  </si>
  <si>
    <t>J83017</t>
  </si>
  <si>
    <t>J83018</t>
  </si>
  <si>
    <t>J83019</t>
  </si>
  <si>
    <t>J83020</t>
  </si>
  <si>
    <t>J83021</t>
  </si>
  <si>
    <t>J83023</t>
  </si>
  <si>
    <t>J83026</t>
  </si>
  <si>
    <t>J83028</t>
  </si>
  <si>
    <t>J83029</t>
  </si>
  <si>
    <t>J83030</t>
  </si>
  <si>
    <t>J83032</t>
  </si>
  <si>
    <t>J83034</t>
  </si>
  <si>
    <t>J83037</t>
  </si>
  <si>
    <t>J83039</t>
  </si>
  <si>
    <t>J83040</t>
  </si>
  <si>
    <t>J83041</t>
  </si>
  <si>
    <t>J83042</t>
  </si>
  <si>
    <t>J83043</t>
  </si>
  <si>
    <t>J83044</t>
  </si>
  <si>
    <t>J83045</t>
  </si>
  <si>
    <t>J83046</t>
  </si>
  <si>
    <t>J83048</t>
  </si>
  <si>
    <t>J83049</t>
  </si>
  <si>
    <t>J83050</t>
  </si>
  <si>
    <t>J83052</t>
  </si>
  <si>
    <t>J83053</t>
  </si>
  <si>
    <t>J83055</t>
  </si>
  <si>
    <t>J83056</t>
  </si>
  <si>
    <t>J83058</t>
  </si>
  <si>
    <t>J83060</t>
  </si>
  <si>
    <t>J83062</t>
  </si>
  <si>
    <t>J83601</t>
  </si>
  <si>
    <t>J83603</t>
  </si>
  <si>
    <t>J83607</t>
  </si>
  <si>
    <t>J83609</t>
  </si>
  <si>
    <t>J83615</t>
  </si>
  <si>
    <t>J83618</t>
  </si>
  <si>
    <t>J83619</t>
  </si>
  <si>
    <t>J83620</t>
  </si>
  <si>
    <t>J83621</t>
  </si>
  <si>
    <t>J83625</t>
  </si>
  <si>
    <t>J83627</t>
  </si>
  <si>
    <t>J83629</t>
  </si>
  <si>
    <t>J83630</t>
  </si>
  <si>
    <t>J83631</t>
  </si>
  <si>
    <t>J83632</t>
  </si>
  <si>
    <t>J83636</t>
  </si>
  <si>
    <t>J83639</t>
  </si>
  <si>
    <t>J83642</t>
  </si>
  <si>
    <t>J83643</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</si>
  <si>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</si>
  <si>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</si>
  <si>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</si>
  <si>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</si>
  <si>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</si>
  <si>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</si>
  <si>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</si>
  <si>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</si>
  <si>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</si>
  <si>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</si>
  <si>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</si>
  <si>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</si>
  <si>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</si>
  <si>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</si>
  <si>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</si>
  <si>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</si>
  <si>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</si>
  <si>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</si>
  <si>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</si>
  <si>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</si>
  <si>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</si>
  <si>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</si>
  <si>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2</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</si>
  <si>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</si>
  <si>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</si>
  <si>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</si>
  <si>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</si>
  <si>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</si>
  <si>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</si>
  <si>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</si>
  <si>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</si>
  <si>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</si>
  <si>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</si>
  <si>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</si>
  <si>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</si>
  <si>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</si>
  <si>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</si>
  <si>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</si>
  <si>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</si>
  <si>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</si>
  <si>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</si>
  <si>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</si>
  <si>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</si>
  <si>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</si>
  <si>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</si>
  <si>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</si>
  <si>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</si>
  <si>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</si>
  <si>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</si>
  <si>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</si>
  <si>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</si>
  <si>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</si>
  <si>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</si>
  <si>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</si>
  <si>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</si>
  <si>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</si>
  <si>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</si>
  <si>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</si>
  <si>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</si>
  <si>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</si>
  <si>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</si>
  <si>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</si>
  <si>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</si>
  <si>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</si>
  <si>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</si>
  <si>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</si>
  <si>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</si>
  <si>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</si>
  <si>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</si>
  <si>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</si>
  <si>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</si>
  <si>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</si>
  <si>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</si>
  <si>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</si>
  <si>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</si>
  <si>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</si>
  <si>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</si>
  <si>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</si>
  <si>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</si>
  <si>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</si>
  <si>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</si>
  <si>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</si>
  <si>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</si>
  <si>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</si>
  <si>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</si>
  <si>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</si>
  <si>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</si>
  <si>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</si>
  <si>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</si>
  <si>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</si>
  <si>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</si>
  <si>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</si>
  <si>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</si>
  <si>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</si>
  <si>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</si>
  <si>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</si>
  <si>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</si>
  <si>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</si>
  <si>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</si>
  <si>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</si>
  <si>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</si>
  <si>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</si>
  <si>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</si>
  <si>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</si>
  <si>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</si>
  <si>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</si>
  <si>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</si>
  <si>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</si>
  <si>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</si>
  <si>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</si>
  <si>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</si>
  <si>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</si>
  <si>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</si>
  <si>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</si>
  <si>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</si>
  <si>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</si>
  <si>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</si>
  <si>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</si>
  <si>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</si>
  <si>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</si>
  <si>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</si>
  <si>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</si>
  <si>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</si>
  <si>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</si>
  <si>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</si>
  <si>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</si>
  <si>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</si>
  <si>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</si>
  <si>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</si>
  <si>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</si>
  <si>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</si>
  <si>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</si>
  <si>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</si>
  <si>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</si>
  <si>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</si>
  <si>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</si>
  <si>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</si>
  <si>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</si>
  <si>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</si>
  <si>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</si>
  <si>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</si>
  <si>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</si>
  <si>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</si>
  <si>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</si>
  <si>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</si>
  <si>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</si>
  <si>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</si>
  <si>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</si>
  <si>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</si>
  <si>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</si>
  <si>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</si>
  <si>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</si>
  <si>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</si>
  <si>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</si>
  <si>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</si>
  <si>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</si>
  <si>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</si>
  <si>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</si>
  <si>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</si>
  <si>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</si>
  <si>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</si>
  <si>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</si>
  <si>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</si>
  <si>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</si>
  <si>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</si>
  <si>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</si>
  <si>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</si>
  <si>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</si>
  <si>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</si>
  <si>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</si>
  <si>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</si>
  <si>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</si>
  <si>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</si>
  <si>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</si>
  <si>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</si>
  <si>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</si>
  <si>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</si>
  <si>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</si>
  <si>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</si>
  <si>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</si>
  <si>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</si>
  <si>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</si>
  <si>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</si>
  <si>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</si>
  <si>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(J83003) HARCOURT MEDICAL CENTRE</t>
  </si>
  <si>
    <t>(J83004) WHITEPARISH SURGERY</t>
  </si>
  <si>
    <t>(J83005) BARCROFT MEDICAL CENTRE</t>
  </si>
  <si>
    <t>(J83006) PURTON SURGERY</t>
  </si>
  <si>
    <t>(J83007) HATHAWAY SURGERY</t>
  </si>
  <si>
    <t>(J83008) LOVEMEAD GROUP PRACTICE</t>
  </si>
  <si>
    <t>(J83010) PORCH SURGERY</t>
  </si>
  <si>
    <t>(J83011) GIFFORDS PRIMARY CARE CENTRE</t>
  </si>
  <si>
    <t>(J83013) BOX SURGERY</t>
  </si>
  <si>
    <t>(J83014) CASTLE PRACTICE</t>
  </si>
  <si>
    <t>(J83015) NEW STREET SURGERY</t>
  </si>
  <si>
    <t>(J83016) ADCROFT SURGERY</t>
  </si>
  <si>
    <t>(J83017) PEWSEY SURGERY</t>
  </si>
  <si>
    <t>(J83018) AVENUE SURGERY</t>
  </si>
  <si>
    <t>(J83019) OLD ORCHARD SURGERY</t>
  </si>
  <si>
    <t>(J83020) ST. ANN STREET SURGERY</t>
  </si>
  <si>
    <t>(J83021) GROVE HOUSE SURGERY</t>
  </si>
  <si>
    <t>(J83023) AVON VALLEY PRACTICE</t>
  </si>
  <si>
    <t>(J83026) ENDLESS STREET SURGERY</t>
  </si>
  <si>
    <t>(J83028) BRADFORD ROAD MEDICAL CENTRE</t>
  </si>
  <si>
    <t>(J83029) TINKERS LANE SURGERY</t>
  </si>
  <si>
    <t>(J83030) BRADFORD-ON-AVON AND MELKSHAM HEALTH</t>
  </si>
  <si>
    <t>(J83032) THREE SWANS SURGERY</t>
  </si>
  <si>
    <t>(J83034) LANSDOWNE SURGERY</t>
  </si>
  <si>
    <t>(J83037) MARLBOROUGH SURGERY</t>
  </si>
  <si>
    <t>(J83039) NORTHLANDS SURGERY</t>
  </si>
  <si>
    <t>(J83040) WESTBURY GROUP PRACTICE</t>
  </si>
  <si>
    <t>(J83041) MALMESBURY PRIMARY CARE CENTRE</t>
  </si>
  <si>
    <t>(J83042) ROWDEN SURGERY</t>
  </si>
  <si>
    <t>(J83043) DOWNTON SURGERY</t>
  </si>
  <si>
    <t>(J83044) WIDBROOK MEDICAL PRACTICE</t>
  </si>
  <si>
    <t>(J83045) RAMSBURY SURGERY</t>
  </si>
  <si>
    <t>(J83046) SPA MEDICAL CENTRE</t>
  </si>
  <si>
    <t>(J83048) ST. MELOR HOUSE SURGERY</t>
  </si>
  <si>
    <t>(J83049) SOUTHBROOM SURGERY</t>
  </si>
  <si>
    <t>(J83050) PATFORD HOUSE SURGERY</t>
  </si>
  <si>
    <t>(J83052) CASTLE STREET SURGERY</t>
  </si>
  <si>
    <t>(J83053) ST. JAMES SURGERY</t>
  </si>
  <si>
    <t>(J83055) NEW COURT SURGERY</t>
  </si>
  <si>
    <t>(J83056) MARKET LAVINGTON SURGERY</t>
  </si>
  <si>
    <t>(J83058) TISBURY SURGERY</t>
  </si>
  <si>
    <t>(J83060) MERE SURGERY</t>
  </si>
  <si>
    <t>(J83062) WILTON HEALTH CENTRE</t>
  </si>
  <si>
    <t>(J83601) BURBAGE SURGERY</t>
  </si>
  <si>
    <t>(J83603) JUBILEE FIELD SURGERY</t>
  </si>
  <si>
    <t>(J83607) SUTTON BENGER SURGERY</t>
  </si>
  <si>
    <t>(J83609) CRICKLADE SURGERY</t>
  </si>
  <si>
    <t>(J83615) OLD SCHOOL HOUSE SURGERY</t>
  </si>
  <si>
    <t>(J83618) TOLSEY SURGERY</t>
  </si>
  <si>
    <t>(J83619) COURTYARD SURGERY</t>
  </si>
  <si>
    <t>(J83620) ALL SAINTS MEDICAL PRACTICE</t>
  </si>
  <si>
    <t>(J83621) TILL VALLEY SURGERY</t>
  </si>
  <si>
    <t>(J83625) LODGE SURGERY</t>
  </si>
  <si>
    <t>(J83627) BEMERTON HEATH SURGERY</t>
  </si>
  <si>
    <t>(J83629) SILTON SURGERY</t>
  </si>
  <si>
    <t>(J83630) HINDON SURGERY</t>
  </si>
  <si>
    <t>(J83631) BECHERS BROOK SURGERY</t>
  </si>
  <si>
    <t>(J83632) CROSS PLAINS SURGERY</t>
  </si>
  <si>
    <t>(J83636) BEVERSBROOK MEDICAL CENTRE</t>
  </si>
  <si>
    <t>(J83639) ST. DAMIAN'S SURGERY</t>
  </si>
  <si>
    <t>(J83642) SMALLBROOK SURGERY</t>
  </si>
  <si>
    <t>(J83643) BOURNE VALLEY PRACTICE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</si>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</sst>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0.6899016716289916</c:v>
                </c:pt>
                <c:pt idx="8">
                  <c:v>0.9048382723116829</c:v>
                </c:pt>
                <c:pt idx="9">
                  <c:v>0.9454531347568313</c:v>
                </c:pt>
                <c:pt idx="10">
                  <c:v>0.7441121130429087</c:v>
                </c:pt>
                <c:pt idx="11">
                  <c:v>0.8755417152089556</c:v>
                </c:pt>
                <c:pt idx="12">
                  <c:v>1</c:v>
                </c:pt>
                <c:pt idx="13">
                  <c:v>0</c:v>
                </c:pt>
                <c:pt idx="14">
                  <c:v>1</c:v>
                </c:pt>
                <c:pt idx="15">
                  <c:v>0.9968871137965919</c:v>
                </c:pt>
                <c:pt idx="16">
                  <c:v>1</c:v>
                </c:pt>
                <c:pt idx="17">
                  <c:v>1</c:v>
                </c:pt>
                <c:pt idx="18">
                  <c:v>1</c:v>
                </c:pt>
                <c:pt idx="19">
                  <c:v>1</c:v>
                </c:pt>
                <c:pt idx="20">
                  <c:v>1</c:v>
                </c:pt>
                <c:pt idx="21">
                  <c:v>1</c:v>
                </c:pt>
                <c:pt idx="22">
                  <c:v>0.9744145986102458</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0.6394493209633304</c:v>
                </c:pt>
                <c:pt idx="3">
                  <c:v>0.6000000074505799</c:v>
                </c:pt>
                <c:pt idx="4">
                  <c:v>0.5883079748348626</c:v>
                </c:pt>
                <c:pt idx="5">
                  <c:v>0.5870614029564928</c:v>
                </c:pt>
                <c:pt idx="6">
                  <c:v>0.5937499970896172</c:v>
                </c:pt>
                <c:pt idx="7">
                  <c:v>0.5884574680686866</c:v>
                </c:pt>
                <c:pt idx="8">
                  <c:v>0.7515687955539608</c:v>
                </c:pt>
                <c:pt idx="9">
                  <c:v>0.6790549437596193</c:v>
                </c:pt>
                <c:pt idx="10">
                  <c:v>0.5655352443530561</c:v>
                </c:pt>
                <c:pt idx="11">
                  <c:v>0.616822810863304</c:v>
                </c:pt>
                <c:pt idx="12">
                  <c:v>0.5985057978414876</c:v>
                </c:pt>
                <c:pt idx="13">
                  <c:v>0</c:v>
                </c:pt>
                <c:pt idx="14">
                  <c:v>0.6023018099506173</c:v>
                </c:pt>
                <c:pt idx="15">
                  <c:v>0.6781481446628111</c:v>
                </c:pt>
                <c:pt idx="16">
                  <c:v>0.7198109371333162</c:v>
                </c:pt>
                <c:pt idx="17">
                  <c:v>0.5735030227954467</c:v>
                </c:pt>
                <c:pt idx="18">
                  <c:v>0.5775428386265649</c:v>
                </c:pt>
                <c:pt idx="19">
                  <c:v>0.6284799231751469</c:v>
                </c:pt>
                <c:pt idx="20">
                  <c:v>0.6189040648451606</c:v>
                </c:pt>
                <c:pt idx="21">
                  <c:v>0.6698587571163606</c:v>
                </c:pt>
                <c:pt idx="22">
                  <c:v>0.6539626189245643</c:v>
                </c:pt>
                <c:pt idx="23">
                  <c:v>0.6645164118702676</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0.4205770203709769</c:v>
                </c:pt>
                <c:pt idx="3">
                  <c:v>0.4500000149011599</c:v>
                </c:pt>
                <c:pt idx="4">
                  <c:v>0.40790717527341624</c:v>
                </c:pt>
                <c:pt idx="5">
                  <c:v>0.412191490551241</c:v>
                </c:pt>
                <c:pt idx="6">
                  <c:v>0.4062500261934456</c:v>
                </c:pt>
                <c:pt idx="7">
                  <c:v>0.39838414105332487</c:v>
                </c:pt>
                <c:pt idx="8">
                  <c:v>0.2836658397754459</c:v>
                </c:pt>
                <c:pt idx="9">
                  <c:v>0.36733432457455084</c:v>
                </c:pt>
                <c:pt idx="10">
                  <c:v>0.40068545492141733</c:v>
                </c:pt>
                <c:pt idx="11">
                  <c:v>0.4142201871052714</c:v>
                </c:pt>
                <c:pt idx="12">
                  <c:v>0.3834678313577542</c:v>
                </c:pt>
                <c:pt idx="13">
                  <c:v>0</c:v>
                </c:pt>
                <c:pt idx="14">
                  <c:v>0.3917896882091167</c:v>
                </c:pt>
                <c:pt idx="15">
                  <c:v>0.38552049189135934</c:v>
                </c:pt>
                <c:pt idx="16">
                  <c:v>0.32428242423553694</c:v>
                </c:pt>
                <c:pt idx="17">
                  <c:v>0.44411955351250637</c:v>
                </c:pt>
                <c:pt idx="18">
                  <c:v>0.42658040615627907</c:v>
                </c:pt>
                <c:pt idx="19">
                  <c:v>0.44563623986801426</c:v>
                </c:pt>
                <c:pt idx="20">
                  <c:v>0.41148514771275413</c:v>
                </c:pt>
                <c:pt idx="21">
                  <c:v>0.43259053578105</c:v>
                </c:pt>
                <c:pt idx="22">
                  <c:v>0.37002091328505377</c:v>
                </c:pt>
                <c:pt idx="23">
                  <c:v>0.42917932423213684</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0.054771289498139544</c:v>
                </c:pt>
                <c:pt idx="3">
                  <c:v>0.35000002607702974</c:v>
                </c:pt>
                <c:pt idx="4">
                  <c:v>0.240047139733249</c:v>
                </c:pt>
                <c:pt idx="5">
                  <c:v>0.1776579750205627</c:v>
                </c:pt>
                <c:pt idx="6">
                  <c:v>0.2500000232830627</c:v>
                </c:pt>
                <c:pt idx="7">
                  <c:v>0</c:v>
                </c:pt>
                <c:pt idx="8">
                  <c:v>0</c:v>
                </c:pt>
                <c:pt idx="9">
                  <c:v>0</c:v>
                </c:pt>
                <c:pt idx="10">
                  <c:v>0</c:v>
                </c:pt>
                <c:pt idx="11">
                  <c:v>0</c:v>
                </c:pt>
                <c:pt idx="12">
                  <c:v>0.22664234167687095</c:v>
                </c:pt>
                <c:pt idx="13">
                  <c:v>0</c:v>
                </c:pt>
                <c:pt idx="14">
                  <c:v>0.16630578291518033</c:v>
                </c:pt>
                <c:pt idx="15">
                  <c:v>0</c:v>
                </c:pt>
                <c:pt idx="16">
                  <c:v>0.014462227307915753</c:v>
                </c:pt>
                <c:pt idx="17">
                  <c:v>0.3435382479734913</c:v>
                </c:pt>
                <c:pt idx="18">
                  <c:v>0.3505225202843149</c:v>
                </c:pt>
                <c:pt idx="19">
                  <c:v>0.2788827941773134</c:v>
                </c:pt>
                <c:pt idx="20">
                  <c:v>0.19209420760680002</c:v>
                </c:pt>
                <c:pt idx="21">
                  <c:v>0.3651249527517442</c:v>
                </c:pt>
                <c:pt idx="22">
                  <c:v>0</c:v>
                </c:pt>
                <c:pt idx="23">
                  <c:v>0.21554937071817268</c:v>
                </c:pt>
                <c:pt idx="24">
                  <c:v>0</c:v>
                </c:pt>
                <c:pt idx="25">
                  <c:v>0</c:v>
                </c:pt>
                <c:pt idx="26">
                  <c:v>0</c:v>
                </c:pt>
              </c:numCache>
            </c:numRef>
          </c:val>
        </c:ser>
        <c:overlap val="100"/>
        <c:gapWidth val="100"/>
        <c:axId val="6416503"/>
        <c:axId val="57748528"/>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0.3896617719610086</c:v>
                </c:pt>
                <c:pt idx="3">
                  <c:v>0.8505464922271156</c:v>
                </c:pt>
                <c:pt idx="4">
                  <c:v>0.48274631089507974</c:v>
                </c:pt>
                <c:pt idx="5">
                  <c:v>0.4911603538618557</c:v>
                </c:pt>
                <c:pt idx="6">
                  <c:v>0.4235181792502987</c:v>
                </c:pt>
                <c:pt idx="7">
                  <c:v>0.44063711511965126</c:v>
                </c:pt>
                <c:pt idx="8">
                  <c:v>0.7036172902696317</c:v>
                </c:pt>
                <c:pt idx="9">
                  <c:v>0.3207802680228589</c:v>
                </c:pt>
                <c:pt idx="10">
                  <c:v>0.15178812560271515</c:v>
                </c:pt>
                <c:pt idx="11">
                  <c:v>0.3637104522457877</c:v>
                </c:pt>
                <c:pt idx="12">
                  <c:v>0.5367188478512024</c:v>
                </c:pt>
                <c:pt idx="13">
                  <c:v>0.5</c:v>
                </c:pt>
                <c:pt idx="14">
                  <c:v>0.44309588129276684</c:v>
                </c:pt>
                <c:pt idx="15">
                  <c:v>0.6048331039711369</c:v>
                </c:pt>
                <c:pt idx="16">
                  <c:v>0.5699799747594347</c:v>
                </c:pt>
                <c:pt idx="17">
                  <c:v>0.49303742331350486</c:v>
                </c:pt>
                <c:pt idx="18">
                  <c:v>0.5470449437002258</c:v>
                </c:pt>
                <c:pt idx="19">
                  <c:v>0.5181658717979569</c:v>
                </c:pt>
                <c:pt idx="20">
                  <c:v>0.5743321514919778</c:v>
                </c:pt>
                <c:pt idx="21">
                  <c:v>0.5796643072974766</c:v>
                </c:pt>
                <c:pt idx="22">
                  <c:v>0.476595648024869</c:v>
                </c:pt>
                <c:pt idx="23">
                  <c:v>0.5216496163026078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0.5172550857465433</c:v>
                </c:pt>
                <c:pt idx="5">
                  <c:v>0.5072033739110988</c:v>
                </c:pt>
                <c:pt idx="6">
                  <c:v>0.5000000152736891</c:v>
                </c:pt>
                <c:pt idx="7">
                  <c:v>-999</c:v>
                </c:pt>
                <c:pt idx="8">
                  <c:v>-999</c:v>
                </c:pt>
                <c:pt idx="9">
                  <c:v>-999</c:v>
                </c:pt>
                <c:pt idx="10">
                  <c:v>0.5282383188725506</c:v>
                </c:pt>
                <c:pt idx="11">
                  <c:v>0.5193229898648721</c:v>
                </c:pt>
                <c:pt idx="12">
                  <c:v>0.4796096426977306</c:v>
                </c:pt>
                <c:pt idx="13">
                  <c:v>0.4045480635331712</c:v>
                </c:pt>
                <c:pt idx="14">
                  <c:v>0.37146870222588285</c:v>
                </c:pt>
                <c:pt idx="15">
                  <c:v>0.38254312505646637</c:v>
                </c:pt>
                <c:pt idx="16">
                  <c:v>0.5204099458625856</c:v>
                </c:pt>
                <c:pt idx="17">
                  <c:v>0.4666086556570216</c:v>
                </c:pt>
                <c:pt idx="18">
                  <c:v>-999</c:v>
                </c:pt>
                <c:pt idx="19">
                  <c:v>0.526269324629361</c:v>
                </c:pt>
                <c:pt idx="20">
                  <c:v>0.5413545541788183</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0.40366341062482264</c:v>
                </c:pt>
                <c:pt idx="3">
                  <c:v>0.6999999910593041</c:v>
                </c:pt>
                <c:pt idx="4">
                  <c:v>-999</c:v>
                </c:pt>
                <c:pt idx="5">
                  <c:v>-999</c:v>
                </c:pt>
                <c:pt idx="6">
                  <c:v>-999</c:v>
                </c:pt>
                <c:pt idx="7">
                  <c:v>0.3708383043406907</c:v>
                </c:pt>
                <c:pt idx="8">
                  <c:v>0.42219943694297574</c:v>
                </c:pt>
                <c:pt idx="9">
                  <c:v>-1.251202061751858E-07</c:v>
                </c:pt>
                <c:pt idx="10">
                  <c:v>-999</c:v>
                </c:pt>
                <c:pt idx="11">
                  <c:v>-999</c:v>
                </c:pt>
                <c:pt idx="12">
                  <c:v>-999</c:v>
                </c:pt>
                <c:pt idx="13">
                  <c:v>-999</c:v>
                </c:pt>
                <c:pt idx="14">
                  <c:v>-999</c:v>
                </c:pt>
                <c:pt idx="15">
                  <c:v>-999</c:v>
                </c:pt>
                <c:pt idx="16">
                  <c:v>-999</c:v>
                </c:pt>
                <c:pt idx="17">
                  <c:v>-999</c:v>
                </c:pt>
                <c:pt idx="18">
                  <c:v>-999</c:v>
                </c:pt>
                <c:pt idx="19">
                  <c:v>-999</c:v>
                </c:pt>
                <c:pt idx="20">
                  <c:v>-999</c:v>
                </c:pt>
                <c:pt idx="21">
                  <c:v>0.4197957813651466</c:v>
                </c:pt>
                <c:pt idx="22">
                  <c:v>0.7570710368481574</c:v>
                </c:pt>
                <c:pt idx="23">
                  <c:v>0.42423576063751267</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9974705"/>
        <c:axId val="47119162"/>
      </c:scatterChart>
      <c:catAx>
        <c:axId val="6416503"/>
        <c:scaling>
          <c:orientation val="maxMin"/>
        </c:scaling>
        <c:axPos val="l"/>
        <c:delete val="0"/>
        <c:numFmt formatCode="General" sourceLinked="1"/>
        <c:majorTickMark val="out"/>
        <c:minorTickMark val="none"/>
        <c:tickLblPos val="none"/>
        <c:spPr>
          <a:ln w="3175">
            <a:noFill/>
          </a:ln>
        </c:spPr>
        <c:crossAx val="57748528"/>
        <c:crosses val="autoZero"/>
        <c:auto val="1"/>
        <c:lblOffset val="100"/>
        <c:tickLblSkip val="1"/>
        <c:noMultiLvlLbl val="0"/>
      </c:catAx>
      <c:valAx>
        <c:axId val="57748528"/>
        <c:scaling>
          <c:orientation val="minMax"/>
          <c:max val="1"/>
          <c:min val="0"/>
        </c:scaling>
        <c:axPos val="t"/>
        <c:delete val="0"/>
        <c:numFmt formatCode="General" sourceLinked="1"/>
        <c:majorTickMark val="none"/>
        <c:minorTickMark val="none"/>
        <c:tickLblPos val="none"/>
        <c:spPr>
          <a:ln w="3175">
            <a:noFill/>
          </a:ln>
        </c:spPr>
        <c:crossAx val="6416503"/>
        <c:crossesAt val="1"/>
        <c:crossBetween val="between"/>
        <c:dispUnits/>
        <c:majorUnit val="1"/>
      </c:valAx>
      <c:valAx>
        <c:axId val="49974705"/>
        <c:scaling>
          <c:orientation val="minMax"/>
          <c:max val="1"/>
          <c:min val="0"/>
        </c:scaling>
        <c:axPos val="t"/>
        <c:delete val="0"/>
        <c:numFmt formatCode="General" sourceLinked="1"/>
        <c:majorTickMark val="none"/>
        <c:minorTickMark val="none"/>
        <c:tickLblPos val="none"/>
        <c:spPr>
          <a:ln w="3175">
            <a:noFill/>
          </a:ln>
        </c:spPr>
        <c:crossAx val="47119162"/>
        <c:crosses val="max"/>
        <c:crossBetween val="midCat"/>
        <c:dispUnits/>
        <c:majorUnit val="0.1"/>
        <c:minorUnit val="0.020000000000000004"/>
      </c:valAx>
      <c:valAx>
        <c:axId val="47119162"/>
        <c:scaling>
          <c:orientation val="maxMin"/>
          <c:max val="29"/>
          <c:min val="0"/>
        </c:scaling>
        <c:axPos val="l"/>
        <c:delete val="0"/>
        <c:numFmt formatCode="General" sourceLinked="1"/>
        <c:majorTickMark val="none"/>
        <c:minorTickMark val="none"/>
        <c:tickLblPos val="none"/>
        <c:spPr>
          <a:ln w="3175">
            <a:noFill/>
          </a:ln>
        </c:spPr>
        <c:crossAx val="49974705"/>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(J83016) ADCROFT SURGERY, WILTSHIRE PCT (5QK)</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497</v>
      </c>
      <c r="Q3" s="65"/>
      <c r="R3" s="66"/>
      <c r="S3" s="66"/>
      <c r="T3" s="66"/>
      <c r="U3" s="66"/>
      <c r="V3" s="66"/>
      <c r="W3" s="66"/>
      <c r="X3" s="66"/>
      <c r="Y3" s="66"/>
      <c r="Z3" s="66"/>
      <c r="AA3" s="66"/>
      <c r="AB3" s="66"/>
      <c r="AC3" s="66"/>
    </row>
    <row r="4" spans="2:29" ht="18" customHeight="1">
      <c r="B4" s="319" t="s">
        <v>593</v>
      </c>
      <c r="C4" s="320"/>
      <c r="D4" s="320"/>
      <c r="E4" s="320"/>
      <c r="F4" s="320"/>
      <c r="G4" s="321"/>
      <c r="H4" s="112"/>
      <c r="I4" s="112"/>
      <c r="J4" s="112"/>
      <c r="K4" s="112"/>
      <c r="L4" s="113"/>
      <c r="M4" s="65"/>
      <c r="N4" s="65"/>
      <c r="O4" s="65"/>
      <c r="P4" s="134" t="s">
        <v>498</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499</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394</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592</v>
      </c>
      <c r="C8" s="115"/>
      <c r="D8" s="115"/>
      <c r="E8" s="128">
        <f>VLOOKUP('Hide - Control'!A$3,'All practice data'!A:CA,4,FALSE)</f>
        <v>12303</v>
      </c>
      <c r="F8" s="310" t="str">
        <f>VLOOKUP('Hide - Control'!B4,'Hide - Calculation'!AY:BA,3,FALSE)</f>
        <v>Please note: Bowel screening indicators are based on less than 30 but over 12 months of data.</v>
      </c>
      <c r="G8" s="310"/>
      <c r="H8" s="310"/>
      <c r="I8" s="115"/>
      <c r="J8" s="115"/>
      <c r="K8" s="115"/>
      <c r="L8" s="115"/>
      <c r="M8" s="109"/>
      <c r="N8" s="314" t="s">
        <v>507</v>
      </c>
      <c r="O8" s="314"/>
      <c r="P8" s="314"/>
      <c r="Q8" s="314" t="s">
        <v>32</v>
      </c>
      <c r="R8" s="314"/>
      <c r="S8" s="314"/>
      <c r="T8" s="314" t="s">
        <v>596</v>
      </c>
      <c r="U8" s="314"/>
      <c r="V8" s="314" t="s">
        <v>33</v>
      </c>
      <c r="W8" s="314"/>
      <c r="X8" s="314"/>
      <c r="Y8" s="135"/>
      <c r="Z8" s="314" t="s">
        <v>500</v>
      </c>
      <c r="AA8" s="314"/>
      <c r="AB8" s="161"/>
      <c r="AC8" s="109"/>
    </row>
    <row r="9" spans="2:29" s="61" customFormat="1" ht="19.5" customHeight="1" thickBot="1">
      <c r="B9" s="114" t="s">
        <v>492</v>
      </c>
      <c r="C9" s="114"/>
      <c r="D9" s="114"/>
      <c r="E9" s="129">
        <f>VLOOKUP('Hide - Control'!B4,'Hide - Calculation'!AY:BB,4,FALSE)</f>
        <v>462395</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489</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470</v>
      </c>
      <c r="E11" s="317"/>
      <c r="F11" s="318"/>
      <c r="G11" s="263" t="s">
        <v>468</v>
      </c>
      <c r="H11" s="255" t="s">
        <v>469</v>
      </c>
      <c r="I11" s="255" t="s">
        <v>480</v>
      </c>
      <c r="J11" s="255" t="s">
        <v>481</v>
      </c>
      <c r="K11" s="255" t="s">
        <v>354</v>
      </c>
      <c r="L11" s="256" t="s">
        <v>394</v>
      </c>
      <c r="M11" s="257" t="s">
        <v>490</v>
      </c>
      <c r="N11" s="334" t="s">
        <v>488</v>
      </c>
      <c r="O11" s="334"/>
      <c r="P11" s="334"/>
      <c r="Q11" s="334"/>
      <c r="R11" s="334"/>
      <c r="S11" s="334"/>
      <c r="T11" s="334"/>
      <c r="U11" s="334"/>
      <c r="V11" s="334"/>
      <c r="W11" s="334"/>
      <c r="X11" s="334"/>
      <c r="Y11" s="334"/>
      <c r="Z11" s="334"/>
      <c r="AA11" s="258" t="s">
        <v>491</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352</v>
      </c>
      <c r="C13" s="163">
        <v>1</v>
      </c>
      <c r="D13" s="312" t="s">
        <v>348</v>
      </c>
      <c r="E13" s="313"/>
      <c r="F13" s="313"/>
      <c r="G13" s="166">
        <f>IF(VLOOKUP('Hide - Control'!A$3,'All practice data'!A:CA,C13+4,FALSE)=" "," ",VLOOKUP('Hide - Control'!A$3,'All practice data'!A:CA,C13+4,FALSE))</f>
        <v>2010</v>
      </c>
      <c r="H13" s="190">
        <f>IF(VLOOKUP('Hide - Control'!A$3,'All practice data'!A:CA,C13+30,FALSE)=" "," ",VLOOKUP('Hide - Control'!A$3,'All practice data'!A:CA,C13+30,FALSE))</f>
        <v>0.1633747866374055</v>
      </c>
      <c r="I13" s="191">
        <f>IF(LEFT(G13,1)=" "," n/a",+((2*G13+1.96^2-1.96*SQRT(1.96^2+4*G13*(1-G13/E$8)))/(2*(E$8+1.96^2))))</f>
        <v>0.1569471010991156</v>
      </c>
      <c r="J13" s="191">
        <f>IF(LEFT(G13,1)=" "," n/a",+((2*G13+1.96^2+1.96*SQRT(1.96^2+4*G13*(1-G13/E$8)))/(2*(E$8+1.96^2))))</f>
        <v>0.17001262835738443</v>
      </c>
      <c r="K13" s="190">
        <f>IF('Hide - Calculation'!N7="","",'Hide - Calculation'!N7)</f>
        <v>0.1869829907330313</v>
      </c>
      <c r="L13" s="192">
        <f>'Hide - Calculation'!O7</f>
        <v>0.1599882305185145</v>
      </c>
      <c r="M13" s="208">
        <f>IF(ISBLANK('Hide - Calculation'!K7),"",'Hide - Calculation'!U7)</f>
        <v>0.07898875325918198</v>
      </c>
      <c r="N13" s="173"/>
      <c r="O13" s="173"/>
      <c r="P13" s="173"/>
      <c r="Q13" s="173"/>
      <c r="R13" s="173"/>
      <c r="S13" s="173"/>
      <c r="T13" s="173"/>
      <c r="U13" s="173"/>
      <c r="V13" s="173"/>
      <c r="W13" s="173"/>
      <c r="X13" s="173"/>
      <c r="Y13" s="173"/>
      <c r="Z13" s="173"/>
      <c r="AA13" s="226">
        <f>IF(ISBLANK('Hide - Calculation'!K7),"",'Hide - Calculation'!T7)</f>
        <v>0.3076098561286926</v>
      </c>
      <c r="AB13" s="233" t="s">
        <v>590</v>
      </c>
      <c r="AC13" s="209" t="s">
        <v>591</v>
      </c>
    </row>
    <row r="14" spans="2:29" ht="33.75" customHeight="1">
      <c r="B14" s="306"/>
      <c r="C14" s="137">
        <v>2</v>
      </c>
      <c r="D14" s="132" t="s">
        <v>501</v>
      </c>
      <c r="E14" s="85"/>
      <c r="F14" s="85"/>
      <c r="G14" s="118" t="str">
        <f>IF(VLOOKUP('Hide - Control'!A$3,'All practice data'!A:CA,C14+4,FALSE)=" "," ",VLOOKUP('Hide - Control'!A$3,'All practice data'!A:CA,C14+4,FALSE))</f>
        <v>Quintile 2</v>
      </c>
      <c r="H14" s="119">
        <f>IF(VLOOKUP('Hide - Control'!A$3,'All practice data'!A:CA,C14+30,FALSE)=" "," ",VLOOKUP('Hide - Control'!A$3,'All practice data'!A:CA,C14+30,FALSE))</f>
        <v>0.12</v>
      </c>
      <c r="I14" s="120">
        <f>IF(LEFT(G14,1)=" "," n/a",+((2*H14*E8+1.96^2-1.96*SQRT(1.96^2+4*H14*E8*(1-H14*E8/E$8)))/(2*(E$8+1.96^2))))</f>
        <v>0.11437603311522226</v>
      </c>
      <c r="J14" s="120">
        <f>IF(LEFT(G14,1)=" "," n/a",+((2*H14*E8+1.96^2+1.96*SQRT(1.96^2+4*H14*E8*(1-H14*E8/E$8)))/(2*(E$8+1.96^2))))</f>
        <v>0.12586120208247462</v>
      </c>
      <c r="K14" s="119">
        <f>IF('Hide - Calculation'!N8="","",'Hide - Calculation'!N8)</f>
        <v>0.08893493658019656</v>
      </c>
      <c r="L14" s="155">
        <f>'Hide - Calculation'!O8</f>
        <v>0.15010930292554353</v>
      </c>
      <c r="M14" s="150">
        <f>IF(ISBLANK('Hide - Calculation'!K8),"",'Hide - Calculation'!U8)</f>
        <v>0.05000000074505806</v>
      </c>
      <c r="N14" s="84"/>
      <c r="O14" s="84"/>
      <c r="P14" s="84"/>
      <c r="Q14" s="84"/>
      <c r="R14" s="84"/>
      <c r="S14" s="84"/>
      <c r="T14" s="84"/>
      <c r="U14" s="84"/>
      <c r="V14" s="84"/>
      <c r="W14" s="84"/>
      <c r="X14" s="84"/>
      <c r="Y14" s="84"/>
      <c r="Z14" s="84"/>
      <c r="AA14" s="227">
        <f>IF(ISBLANK('Hide - Calculation'!K8),"",'Hide - Calculation'!T8)</f>
        <v>0.18000000715255737</v>
      </c>
      <c r="AB14" s="234" t="s">
        <v>39</v>
      </c>
      <c r="AC14" s="130" t="s">
        <v>591</v>
      </c>
    </row>
    <row r="15" spans="2:39" s="63" customFormat="1" ht="33.75" customHeight="1">
      <c r="B15" s="306"/>
      <c r="C15" s="137">
        <v>3</v>
      </c>
      <c r="D15" s="132" t="s">
        <v>357</v>
      </c>
      <c r="E15" s="85"/>
      <c r="F15" s="85"/>
      <c r="G15" s="121">
        <f>IF(VLOOKUP('Hide - Control'!A$3,'All practice data'!A:CA,C15+4,FALSE)=" "," ",VLOOKUP('Hide - Control'!A$3,'All practice data'!A:CA,C15+4,FALSE))</f>
        <v>61</v>
      </c>
      <c r="H15" s="122">
        <f>IF(VLOOKUP('Hide - Control'!A$3,'All practice data'!A:CA,C15+30,FALSE)=" "," ",VLOOKUP('Hide - Control'!A$3,'All practice data'!A:CA,C15+30,FALSE))</f>
        <v>495.81402909859383</v>
      </c>
      <c r="I15" s="123">
        <f>IF(LEFT(G15,1)=" "," n/a",IF(G15&lt;5,100000*VLOOKUP(G15,'Hide - Calculation'!AQ:AR,2,FALSE)/$E$8,100000*(G15*(1-1/(9*G15)-1.96/(3*SQRT(G15)))^3)/$E$8))</f>
        <v>379.235921885422</v>
      </c>
      <c r="J15" s="123">
        <f>IF(LEFT(G15,1)=" "," n/a",IF(G15&lt;5,100000*VLOOKUP(G15,'Hide - Calculation'!AQ:AS,3,FALSE)/$E$8,100000*((G15+1)*(1-1/(9*(G15+1))+1.96/(3*SQRT(G15+1)))^3)/$E$8))</f>
        <v>636.9073257095541</v>
      </c>
      <c r="K15" s="122">
        <f>IF('Hide - Calculation'!N9="","",'Hide - Calculation'!N9)</f>
        <v>469.07946668973494</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1197.9822998046875</v>
      </c>
      <c r="AB15" s="234" t="s">
        <v>471</v>
      </c>
      <c r="AC15" s="131">
        <v>2009</v>
      </c>
      <c r="AD15" s="64"/>
      <c r="AE15" s="64"/>
      <c r="AF15" s="64"/>
      <c r="AG15" s="64"/>
      <c r="AH15" s="64"/>
      <c r="AI15" s="64"/>
      <c r="AJ15" s="64"/>
      <c r="AK15" s="64"/>
      <c r="AL15" s="64"/>
      <c r="AM15" s="64"/>
    </row>
    <row r="16" spans="2:29" s="63" customFormat="1" ht="33.75" customHeight="1">
      <c r="B16" s="306"/>
      <c r="C16" s="137">
        <v>4</v>
      </c>
      <c r="D16" s="132" t="s">
        <v>493</v>
      </c>
      <c r="E16" s="85"/>
      <c r="F16" s="85"/>
      <c r="G16" s="121">
        <f>IF(VLOOKUP('Hide - Control'!A$3,'All practice data'!A:CA,C16+4,FALSE)=" "," ",VLOOKUP('Hide - Control'!A$3,'All practice data'!A:CA,C16+4,FALSE))</f>
        <v>30</v>
      </c>
      <c r="H16" s="122">
        <f>IF(VLOOKUP('Hide - Control'!A$3,'All practice data'!A:CA,C16+30,FALSE)=" "," ",VLOOKUP('Hide - Control'!A$3,'All practice data'!A:CA,C16+30,FALSE))</f>
        <v>243.84296513045598</v>
      </c>
      <c r="I16" s="123">
        <f>IF(LEFT(G16,1)=" "," n/a",IF(G16&lt;5,100000*VLOOKUP(G16,'Hide - Calculation'!AQ:AR,2,FALSE)/$E$8,100000*(G16*(1-1/(9*G16)-1.96/(3*SQRT(G16)))^3)/$E$8))</f>
        <v>164.48660786633198</v>
      </c>
      <c r="J16" s="123">
        <f>IF(LEFT(G16,1)=" "," n/a",IF(G16&lt;5,100000*VLOOKUP(G16,'Hide - Calculation'!AQ:AS,3,FALSE)/$E$8,100000*((G16+1)*(1-1/(9*(G16+1))+1.96/(3*SQRT(G16+1)))^3)/$E$8))</f>
        <v>348.1152620078579</v>
      </c>
      <c r="K16" s="122">
        <f>IF('Hide - Calculation'!N10="","",'Hide - Calculation'!N10)</f>
        <v>248.27258080212806</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542.4254150390625</v>
      </c>
      <c r="AB16" s="234" t="s">
        <v>351</v>
      </c>
      <c r="AC16" s="131" t="s">
        <v>525</v>
      </c>
    </row>
    <row r="17" spans="2:29" s="63" customFormat="1" ht="33.75" customHeight="1" thickBot="1">
      <c r="B17" s="309"/>
      <c r="C17" s="180">
        <v>5</v>
      </c>
      <c r="D17" s="195" t="s">
        <v>356</v>
      </c>
      <c r="E17" s="182"/>
      <c r="F17" s="182"/>
      <c r="G17" s="140">
        <f>IF(VLOOKUP('Hide - Control'!A$3,'All practice data'!A:CA,C17+4,FALSE)=" "," ",VLOOKUP('Hide - Control'!A$3,'All practice data'!A:CA,C17+4,FALSE))</f>
        <v>235</v>
      </c>
      <c r="H17" s="141">
        <f>IF(VLOOKUP('Hide - Control'!A$3,'All practice data'!A:CA,C17+30,FALSE)=" "," ",VLOOKUP('Hide - Control'!A$3,'All practice data'!A:CA,C17+30,FALSE))</f>
        <v>0.019</v>
      </c>
      <c r="I17" s="142">
        <f>IF(LEFT(G17,1)=" "," n/a",+((2*G17+1.96^2-1.96*SQRT(1.96^2+4*G17*(1-G17/E$8)))/(2*(E$8+1.96^2))))</f>
        <v>0.01682811798300879</v>
      </c>
      <c r="J17" s="142">
        <f>IF(LEFT(G17,1)=" "," n/a",+((2*G17+1.96^2+1.96*SQRT(1.96^2+4*G17*(1-G17/E$8)))/(2*(E$8+1.96^2))))</f>
        <v>0.02167417329536437</v>
      </c>
      <c r="K17" s="141">
        <f>IF('Hide - Calculation'!N11="","",'Hide - Calculation'!N11)</f>
        <v>0.01925410093102218</v>
      </c>
      <c r="L17" s="157">
        <f>'Hide - Calculation'!O11</f>
        <v>0.015940726342527432</v>
      </c>
      <c r="M17" s="210">
        <f>IF(ISBLANK('Hide - Calculation'!K11),"",'Hide - Calculation'!U11)</f>
        <v>0.008999999612569809</v>
      </c>
      <c r="N17" s="91"/>
      <c r="O17" s="91"/>
      <c r="P17" s="91"/>
      <c r="Q17" s="91"/>
      <c r="R17" s="91"/>
      <c r="S17" s="91"/>
      <c r="T17" s="91"/>
      <c r="U17" s="91"/>
      <c r="V17" s="91"/>
      <c r="W17" s="91"/>
      <c r="X17" s="91"/>
      <c r="Y17" s="91"/>
      <c r="Z17" s="91"/>
      <c r="AA17" s="229">
        <f>IF(ISBLANK('Hide - Calculation'!K11),"",'Hide - Calculation'!T11)</f>
        <v>0.039000000804662704</v>
      </c>
      <c r="AB17" s="235" t="s">
        <v>494</v>
      </c>
      <c r="AC17" s="189" t="s">
        <v>525</v>
      </c>
    </row>
    <row r="18" spans="2:29" s="63" customFormat="1" ht="33.75" customHeight="1">
      <c r="B18" s="308" t="s">
        <v>13</v>
      </c>
      <c r="C18" s="163">
        <v>6</v>
      </c>
      <c r="D18" s="164" t="s">
        <v>502</v>
      </c>
      <c r="E18" s="165"/>
      <c r="F18" s="165"/>
      <c r="G18" s="219">
        <f>IF(OR(VLOOKUP('Hide - Control'!A$3,'All practice data'!A:CA,C18+4,FALSE)=" ",VLOOKUP('Hide - Control'!A$3,'All practice data'!A:CA,C18+52,FALSE)=0)," n/a",VLOOKUP('Hide - Control'!A$3,'All practice data'!A:CA,C18+4,FALSE))</f>
        <v>995</v>
      </c>
      <c r="H18" s="220">
        <f>IF(OR(VLOOKUP('Hide - Control'!A$3,'All practice data'!A:CA,C18+30,FALSE)=" ",VLOOKUP('Hide - Control'!A$3,'All practice data'!A:CA,C18+52,FALSE)=0)," n/a",VLOOKUP('Hide - Control'!A$3,'All practice data'!A:CA,C18+30,FALSE))</f>
        <v>0.701693</v>
      </c>
      <c r="I18" s="191">
        <f>IF(OR(LEFT(H18,1)=" ",VLOOKUP('Hide - Control'!A$3,'All practice data'!A:CA,C18+52,FALSE)=0)," n/a",+((2*G18+1.96^2-1.96*SQRT(1.96^2+4*G18*(1-G18/(VLOOKUP('Hide - Control'!A$3,'All practice data'!A:CA,C18+52,FALSE)))))/(2*(((VLOOKUP('Hide - Control'!A$3,'All practice data'!A:CA,C18+52,FALSE)))+1.96^2))))</f>
        <v>0.6773600193632476</v>
      </c>
      <c r="J18" s="191">
        <f>IF(OR(LEFT(H18,1)=" ",VLOOKUP('Hide - Control'!A$3,'All practice data'!A:CA,C18+52,FALSE)=0)," n/a",+((2*G18+1.96^2+1.96*SQRT(1.96^2+4*G18*(1-G18/(VLOOKUP('Hide - Control'!A$3,'All practice data'!A:CA,C18+52,FALSE)))))/(2*((VLOOKUP('Hide - Control'!A$3,'All practice data'!A:CA,C18+52,FALSE))+1.96^2))))</f>
        <v>0.724935144880083</v>
      </c>
      <c r="K18" s="220">
        <f>IF('Hide - Calculation'!N12="","",'Hide - Calculation'!N12)</f>
        <v>0.7454207762264634</v>
      </c>
      <c r="L18" s="192">
        <f>'Hide - Calculation'!O12</f>
        <v>0.7248631360507991</v>
      </c>
      <c r="M18" s="193">
        <f>IF(ISBLANK('Hide - Calculation'!K12),"",'Hide - Calculation'!U12)</f>
        <v>0.578590989112854</v>
      </c>
      <c r="N18" s="194"/>
      <c r="O18" s="173"/>
      <c r="P18" s="173"/>
      <c r="Q18" s="173"/>
      <c r="R18" s="173"/>
      <c r="S18" s="173"/>
      <c r="T18" s="173"/>
      <c r="U18" s="173"/>
      <c r="V18" s="173"/>
      <c r="W18" s="173"/>
      <c r="X18" s="173"/>
      <c r="Y18" s="173"/>
      <c r="Z18" s="174"/>
      <c r="AA18" s="193">
        <f>IF(ISBLANK('Hide - Calculation'!K12),"",'Hide - Calculation'!T12)</f>
        <v>0.8076080083847046</v>
      </c>
      <c r="AB18" s="233" t="s">
        <v>48</v>
      </c>
      <c r="AC18" s="175" t="s">
        <v>526</v>
      </c>
    </row>
    <row r="19" spans="2:29" s="63" customFormat="1" ht="33.75" customHeight="1">
      <c r="B19" s="306"/>
      <c r="C19" s="137">
        <v>7</v>
      </c>
      <c r="D19" s="132" t="s">
        <v>503</v>
      </c>
      <c r="E19" s="85"/>
      <c r="F19" s="85"/>
      <c r="G19" s="221">
        <f>IF(OR(VLOOKUP('Hide - Control'!A$3,'All practice data'!A:CA,C19+4,FALSE)=" ",VLOOKUP('Hide - Control'!A$3,'All practice data'!A:CA,C19+52,FALSE)=0)," n/a",VLOOKUP('Hide - Control'!A$3,'All practice data'!A:CA,C19+4,FALSE))</f>
        <v>25</v>
      </c>
      <c r="H19" s="218">
        <f>IF(OR(VLOOKUP('Hide - Control'!A$3,'All practice data'!A:CA,C19+30,FALSE)=" ",VLOOKUP('Hide - Control'!A$3,'All practice data'!A:CA,C19+52,FALSE)=0)," n/a",VLOOKUP('Hide - Control'!A$3,'All practice data'!A:CA,C19+30,FALSE))</f>
        <v>0.581395</v>
      </c>
      <c r="I19" s="120">
        <f>IF(OR(LEFT(H19,1)=" ",VLOOKUP('Hide - Control'!A$3,'All practice data'!A:CA,C19+52,FALSE)=0)," n/a",+((2*G19+1.96^2-1.96*SQRT(1.96^2+4*G19*(1-G19/(VLOOKUP('Hide - Control'!A$3,'All practice data'!A:CA,C19+52,FALSE)))))/(2*(((VLOOKUP('Hide - Control'!A$3,'All practice data'!A:CA,C19+52,FALSE)))+1.96^2))))</f>
        <v>0.43328315755711766</v>
      </c>
      <c r="J19" s="120">
        <f>IF(OR(LEFT(H19,1)=" ",VLOOKUP('Hide - Control'!A$3,'All practice data'!A:CA,C19+52,FALSE)=0)," n/a",+((2*G19+1.96^2+1.96*SQRT(1.96^2+4*G19*(1-G19/(VLOOKUP('Hide - Control'!A$3,'All practice data'!A:CA,C19+52,FALSE)))))/(2*((VLOOKUP('Hide - Control'!A$3,'All practice data'!A:CA,C19+52,FALSE))+1.96^2))))</f>
        <v>0.7161566566251477</v>
      </c>
      <c r="K19" s="218">
        <f>IF('Hide - Calculation'!N13="","",'Hide - Calculation'!N13)</f>
        <v>0.7681319615678939</v>
      </c>
      <c r="L19" s="155">
        <f>'Hide - Calculation'!O13</f>
        <v>0.7467412166569077</v>
      </c>
      <c r="M19" s="152">
        <f>IF(ISBLANK('Hide - Calculation'!K13),"",'Hide - Calculation'!U13)</f>
        <v>0.33333298563957214</v>
      </c>
      <c r="N19" s="160"/>
      <c r="O19" s="84"/>
      <c r="P19" s="84"/>
      <c r="Q19" s="84"/>
      <c r="R19" s="84"/>
      <c r="S19" s="84"/>
      <c r="T19" s="84"/>
      <c r="U19" s="84"/>
      <c r="V19" s="84"/>
      <c r="W19" s="84"/>
      <c r="X19" s="84"/>
      <c r="Y19" s="84"/>
      <c r="Z19" s="88"/>
      <c r="AA19" s="152">
        <f>IF(ISBLANK('Hide - Calculation'!K13),"",'Hide - Calculation'!T13)</f>
        <v>0.8649680018424988</v>
      </c>
      <c r="AB19" s="234" t="s">
        <v>48</v>
      </c>
      <c r="AC19" s="131" t="s">
        <v>525</v>
      </c>
    </row>
    <row r="20" spans="2:29" s="63" customFormat="1" ht="33.75" customHeight="1">
      <c r="B20" s="306"/>
      <c r="C20" s="137">
        <v>8</v>
      </c>
      <c r="D20" s="132" t="s">
        <v>504</v>
      </c>
      <c r="E20" s="85"/>
      <c r="F20" s="85"/>
      <c r="G20" s="221">
        <f>IF(OR(VLOOKUP('Hide - Control'!A$3,'All practice data'!A:CA,C20+4,FALSE)=" ",VLOOKUP('Hide - Control'!A$3,'All practice data'!A:CA,C20+52,FALSE)=0)," n/a",VLOOKUP('Hide - Control'!A$3,'All practice data'!A:CA,C20+4,FALSE))</f>
        <v>2124</v>
      </c>
      <c r="H20" s="218">
        <f>IF(OR(VLOOKUP('Hide - Control'!A$3,'All practice data'!A:CA,C20+30,FALSE)=" ",VLOOKUP('Hide - Control'!A$3,'All practice data'!A:CA,C20+52,FALSE)=0)," n/a",VLOOKUP('Hide - Control'!A$3,'All practice data'!A:CA,C20+30,FALSE))</f>
        <v>0.704711</v>
      </c>
      <c r="I20" s="120">
        <f>IF(OR(LEFT(H20,1)=" ",VLOOKUP('Hide - Control'!A$3,'All practice data'!A:CA,C20+52,FALSE)=0)," n/a",+((2*G20+1.96^2-1.96*SQRT(1.96^2+4*G20*(1-G20/(VLOOKUP('Hide - Control'!A$3,'All practice data'!A:CA,C20+52,FALSE)))))/(2*(((VLOOKUP('Hide - Control'!A$3,'All practice data'!A:CA,C20+52,FALSE)))+1.96^2))))</f>
        <v>0.6881730765401004</v>
      </c>
      <c r="J20" s="120">
        <f>IF(OR(LEFT(H20,1)=" ",VLOOKUP('Hide - Control'!A$3,'All practice data'!A:CA,C20+52,FALSE)=0)," n/a",+((2*G20+1.96^2+1.96*SQRT(1.96^2+4*G20*(1-G20/(VLOOKUP('Hide - Control'!A$3,'All practice data'!A:CA,C20+52,FALSE)))))/(2*((VLOOKUP('Hide - Control'!A$3,'All practice data'!A:CA,C20+52,FALSE))+1.96^2))))</f>
        <v>0.7207284377076982</v>
      </c>
      <c r="K20" s="218">
        <f>IF('Hide - Calculation'!N14="","",'Hide - Calculation'!N14)</f>
        <v>0.7783610688225103</v>
      </c>
      <c r="L20" s="155">
        <f>'Hide - Calculation'!O14</f>
        <v>0.7559681673907895</v>
      </c>
      <c r="M20" s="152">
        <f>IF(ISBLANK('Hide - Calculation'!K14),"",'Hide - Calculation'!U14)</f>
        <v>0.7047110199928284</v>
      </c>
      <c r="N20" s="160"/>
      <c r="O20" s="84"/>
      <c r="P20" s="84"/>
      <c r="Q20" s="84"/>
      <c r="R20" s="84"/>
      <c r="S20" s="84"/>
      <c r="T20" s="84"/>
      <c r="U20" s="84"/>
      <c r="V20" s="84"/>
      <c r="W20" s="84"/>
      <c r="X20" s="84"/>
      <c r="Y20" s="84"/>
      <c r="Z20" s="88"/>
      <c r="AA20" s="152">
        <f>IF(ISBLANK('Hide - Calculation'!K14),"",'Hide - Calculation'!T14)</f>
        <v>0.855783998966217</v>
      </c>
      <c r="AB20" s="234" t="s">
        <v>48</v>
      </c>
      <c r="AC20" s="131" t="s">
        <v>527</v>
      </c>
    </row>
    <row r="21" spans="2:29" s="63" customFormat="1" ht="33.75" customHeight="1">
      <c r="B21" s="306"/>
      <c r="C21" s="137">
        <v>9</v>
      </c>
      <c r="D21" s="132" t="s">
        <v>505</v>
      </c>
      <c r="E21" s="85"/>
      <c r="F21" s="85"/>
      <c r="G21" s="221">
        <f>IF(OR(VLOOKUP('Hide - Control'!A$3,'All practice data'!A:CA,C21+4,FALSE)=" ",VLOOKUP('Hide - Control'!A$3,'All practice data'!A:CA,C21+52,FALSE)=0)," n/a",VLOOKUP('Hide - Control'!A$3,'All practice data'!A:CA,C21+4,FALSE))</f>
        <v>752</v>
      </c>
      <c r="H21" s="218">
        <f>IF(OR(VLOOKUP('Hide - Control'!A$3,'All practice data'!A:CA,C21+30,FALSE)=" ",VLOOKUP('Hide - Control'!A$3,'All practice data'!A:CA,C21+52,FALSE)=0)," n/a",VLOOKUP('Hide - Control'!A$3,'All practice data'!A:CA,C21+30,FALSE))</f>
        <v>0.602082</v>
      </c>
      <c r="I21" s="120">
        <f>IF(OR(LEFT(H21,1)=" ",VLOOKUP('Hide - Control'!A$3,'All practice data'!A:CA,C21+52,FALSE)=0)," n/a",+((2*G21+1.96^2-1.96*SQRT(1.96^2+4*G21*(1-G21/(VLOOKUP('Hide - Control'!A$3,'All practice data'!A:CA,C21+52,FALSE)))))/(2*(((VLOOKUP('Hide - Control'!A$3,'All practice data'!A:CA,C21+52,FALSE)))+1.96^2))))</f>
        <v>0.5746628891455341</v>
      </c>
      <c r="J21" s="120">
        <f>IF(OR(LEFT(H21,1)=" ",VLOOKUP('Hide - Control'!A$3,'All practice data'!A:CA,C21+52,FALSE)=0)," n/a",+((2*G21+1.96^2+1.96*SQRT(1.96^2+4*G21*(1-G21/(VLOOKUP('Hide - Control'!A$3,'All practice data'!A:CA,C21+52,FALSE)))))/(2*((VLOOKUP('Hide - Control'!A$3,'All practice data'!A:CA,C21+52,FALSE))+1.96^2))))</f>
        <v>0.6288744135749376</v>
      </c>
      <c r="K21" s="218">
        <f>IF('Hide - Calculation'!N15="","",'Hide - Calculation'!N15)</f>
        <v>0.5920962860591641</v>
      </c>
      <c r="L21" s="155">
        <f>'Hide - Calculation'!O15</f>
        <v>0.5147293797466616</v>
      </c>
      <c r="M21" s="152">
        <f>IF(ISBLANK('Hide - Calculation'!K15),"",'Hide - Calculation'!U15)</f>
        <v>0.47950801253318787</v>
      </c>
      <c r="N21" s="160"/>
      <c r="O21" s="84"/>
      <c r="P21" s="84"/>
      <c r="Q21" s="84"/>
      <c r="R21" s="84"/>
      <c r="S21" s="84"/>
      <c r="T21" s="84"/>
      <c r="U21" s="84"/>
      <c r="V21" s="84"/>
      <c r="W21" s="84"/>
      <c r="X21" s="84"/>
      <c r="Y21" s="84"/>
      <c r="Z21" s="88"/>
      <c r="AA21" s="152">
        <f>IF(ISBLANK('Hide - Calculation'!K15),"",'Hide - Calculation'!T15)</f>
        <v>0.6521739959716797</v>
      </c>
      <c r="AB21" s="234" t="s">
        <v>48</v>
      </c>
      <c r="AC21" s="131" t="s">
        <v>526</v>
      </c>
    </row>
    <row r="22" spans="2:29" s="63" customFormat="1" ht="33.75" customHeight="1" thickBot="1">
      <c r="B22" s="309"/>
      <c r="C22" s="180">
        <v>10</v>
      </c>
      <c r="D22" s="195" t="s">
        <v>506</v>
      </c>
      <c r="E22" s="182"/>
      <c r="F22" s="182"/>
      <c r="G22" s="222">
        <f>IF(OR(VLOOKUP('Hide - Control'!A$3,'All practice data'!A:CA,C22+4,FALSE)=" ",VLOOKUP('Hide - Control'!A$3,'All practice data'!A:CA,C22+52,FALSE)=0)," n/a",VLOOKUP('Hide - Control'!A$3,'All practice data'!A:CA,C22+4,FALSE))</f>
        <v>401</v>
      </c>
      <c r="H22" s="223">
        <f>IF(OR(VLOOKUP('Hide - Control'!A$3,'All practice data'!A:CA,C22+30,FALSE)=" ",VLOOKUP('Hide - Control'!A$3,'All practice data'!A:CA,C22+52,FALSE)=0)," n/a",VLOOKUP('Hide - Control'!A$3,'All practice data'!A:CA,C22+30,FALSE))</f>
        <v>0.614089</v>
      </c>
      <c r="I22" s="196">
        <f>IF(OR(LEFT(H22,1)=" ",VLOOKUP('Hide - Control'!A$3,'All practice data'!A:CA,C22+52,FALSE)=0)," n/a",+((2*G22+1.96^2-1.96*SQRT(1.96^2+4*G22*(1-G22/(VLOOKUP('Hide - Control'!A$3,'All practice data'!A:CA,C22+52,FALSE)))))/(2*(((VLOOKUP('Hide - Control'!A$3,'All practice data'!A:CA,C22+52,FALSE)))+1.96^2))))</f>
        <v>0.5761862695055845</v>
      </c>
      <c r="J22" s="196">
        <f>IF(OR(LEFT(H22,1)=" ",VLOOKUP('Hide - Control'!A$3,'All practice data'!A:CA,C22+52,FALSE)=0)," n/a",+((2*G22+1.96^2+1.96*SQRT(1.96^2+4*G22*(1-G22/(VLOOKUP('Hide - Control'!A$3,'All practice data'!A:CA,C22+52,FALSE)))))/(2*((VLOOKUP('Hide - Control'!A$3,'All practice data'!A:CA,C22+52,FALSE))+1.96^2))))</f>
        <v>0.6506568537070745</v>
      </c>
      <c r="K22" s="223">
        <f>IF('Hide - Calculation'!N16="","",'Hide - Calculation'!N16)</f>
        <v>0.61211049876954</v>
      </c>
      <c r="L22" s="197">
        <f>'Hide - Calculation'!O16</f>
        <v>0.5752927626212945</v>
      </c>
      <c r="M22" s="198">
        <f>IF(ISBLANK('Hide - Calculation'!K16),"",'Hide - Calculation'!U16)</f>
        <v>0.4846149981021881</v>
      </c>
      <c r="N22" s="199"/>
      <c r="O22" s="91"/>
      <c r="P22" s="91"/>
      <c r="Q22" s="91"/>
      <c r="R22" s="91"/>
      <c r="S22" s="91"/>
      <c r="T22" s="91"/>
      <c r="U22" s="91"/>
      <c r="V22" s="91"/>
      <c r="W22" s="91"/>
      <c r="X22" s="91"/>
      <c r="Y22" s="91"/>
      <c r="Z22" s="188"/>
      <c r="AA22" s="198">
        <f>IF(ISBLANK('Hide - Calculation'!K16),"",'Hide - Calculation'!T16)</f>
        <v>0.7028989791870117</v>
      </c>
      <c r="AB22" s="235" t="s">
        <v>48</v>
      </c>
      <c r="AC22" s="189" t="s">
        <v>525</v>
      </c>
    </row>
    <row r="23" spans="2:29" s="63" customFormat="1" ht="33.75" customHeight="1">
      <c r="B23" s="308" t="s">
        <v>346</v>
      </c>
      <c r="C23" s="163">
        <v>11</v>
      </c>
      <c r="D23" s="179" t="s">
        <v>358</v>
      </c>
      <c r="E23" s="165"/>
      <c r="F23" s="165"/>
      <c r="G23" s="118">
        <f>IF(VLOOKUP('Hide - Control'!A$3,'All practice data'!A:CA,C23+4,FALSE)=" "," ",VLOOKUP('Hide - Control'!A$3,'All practice data'!A:CA,C23+4,FALSE))</f>
        <v>197</v>
      </c>
      <c r="H23" s="216">
        <f>IF(VLOOKUP('Hide - Control'!A$3,'All practice data'!A:CA,C23+30,FALSE)=" "," ",VLOOKUP('Hide - Control'!A$3,'All practice data'!A:CA,C23+30,FALSE))</f>
        <v>1601.2354710233276</v>
      </c>
      <c r="I23" s="215">
        <f>IF(LEFT(G23,1)=" "," n/a",IF(G23&lt;5,100000*VLOOKUP(G23,'Hide - Calculation'!AQ:AR,2,FALSE)/$E$8,100000*(G23*(1-1/(9*G23)-1.96/(3*SQRT(G23)))^3)/$E$8))</f>
        <v>1385.4174534544932</v>
      </c>
      <c r="J23" s="215">
        <f>IF(LEFT(G23,1)=" "," n/a",IF(G23&lt;5,100000*VLOOKUP(G23,'Hide - Calculation'!AQ:AS,3,FALSE)/$E$8,100000*((G23+1)*(1-1/(9*(G23+1))+1.96/(3*SQRT(G23+1)))^3)/$E$8))</f>
        <v>1841.137826089224</v>
      </c>
      <c r="K23" s="216">
        <f>IF('Hide - Calculation'!N17="","",'Hide - Calculation'!N17)</f>
        <v>1609.0139382995058</v>
      </c>
      <c r="L23" s="217">
        <f>'Hide - Calculation'!O17</f>
        <v>1812.1669120472948</v>
      </c>
      <c r="M23" s="170">
        <f>IF(ISBLANK('Hide - Calculation'!K17),"",'Hide - Calculation'!U17)</f>
        <v>666.906982421875</v>
      </c>
      <c r="N23" s="171"/>
      <c r="O23" s="172"/>
      <c r="P23" s="172"/>
      <c r="Q23" s="172"/>
      <c r="R23" s="173"/>
      <c r="S23" s="173"/>
      <c r="T23" s="173"/>
      <c r="U23" s="173"/>
      <c r="V23" s="173"/>
      <c r="W23" s="173"/>
      <c r="X23" s="173"/>
      <c r="Y23" s="173"/>
      <c r="Z23" s="174"/>
      <c r="AA23" s="170">
        <f>IF(ISBLANK('Hide - Calculation'!K17),"",'Hide - Calculation'!T17)</f>
        <v>3523.284423828125</v>
      </c>
      <c r="AB23" s="233" t="s">
        <v>26</v>
      </c>
      <c r="AC23" s="175" t="s">
        <v>525</v>
      </c>
    </row>
    <row r="24" spans="2:29" s="63" customFormat="1" ht="33.75" customHeight="1">
      <c r="B24" s="306"/>
      <c r="C24" s="137">
        <v>12</v>
      </c>
      <c r="D24" s="147" t="s">
        <v>512</v>
      </c>
      <c r="E24" s="85"/>
      <c r="F24" s="85"/>
      <c r="G24" s="118">
        <f>IF(VLOOKUP('Hide - Control'!A$3,'All practice data'!A:CA,C24+4,FALSE)=" "," ",VLOOKUP('Hide - Control'!A$3,'All practice data'!A:CA,C24+4,FALSE))</f>
        <v>197</v>
      </c>
      <c r="H24" s="119">
        <f>IF(VLOOKUP('Hide - Control'!A$3,'All practice data'!A:CA,C24+30,FALSE)=" "," ",VLOOKUP('Hide - Control'!A$3,'All practice data'!A:CA,C24+30,FALSE))</f>
        <v>0.8751690674</v>
      </c>
      <c r="I24" s="212">
        <f>IF(LEFT(VLOOKUP('Hide - Control'!A$3,'All practice data'!A:CA,C24+44,FALSE),1)=" "," n/a",VLOOKUP('Hide - Control'!A$3,'All practice data'!A:CA,C24+44,FALSE))</f>
        <v>0.7572195435000001</v>
      </c>
      <c r="J24" s="212">
        <f>IF(LEFT(VLOOKUP('Hide - Control'!A$3,'All practice data'!A:CA,C24+45,FALSE),1)=" "," n/a",VLOOKUP('Hide - Control'!A$3,'All practice data'!A:CA,C24+45,FALSE))</f>
        <v>1.00628334</v>
      </c>
      <c r="K24" s="152" t="s">
        <v>595</v>
      </c>
      <c r="L24" s="213">
        <v>1</v>
      </c>
      <c r="M24" s="152">
        <f>IF(ISBLANK('Hide - Calculation'!K18),"",'Hide - Calculation'!U18)</f>
        <v>0.34610581398010254</v>
      </c>
      <c r="N24" s="86"/>
      <c r="O24" s="87"/>
      <c r="P24" s="87"/>
      <c r="Q24" s="87"/>
      <c r="R24" s="84"/>
      <c r="S24" s="84"/>
      <c r="T24" s="84"/>
      <c r="U24" s="84"/>
      <c r="V24" s="84"/>
      <c r="W24" s="84"/>
      <c r="X24" s="84"/>
      <c r="Y24" s="84"/>
      <c r="Z24" s="88"/>
      <c r="AA24" s="152">
        <f>IF(ISBLANK('Hide - Calculation'!K18),"",'Hide - Calculation'!T18)</f>
        <v>1.604729175567627</v>
      </c>
      <c r="AB24" s="234" t="s">
        <v>26</v>
      </c>
      <c r="AC24" s="131" t="s">
        <v>525</v>
      </c>
    </row>
    <row r="25" spans="2:29" s="63" customFormat="1" ht="33.75" customHeight="1">
      <c r="B25" s="306"/>
      <c r="C25" s="137">
        <v>13</v>
      </c>
      <c r="D25" s="147" t="s">
        <v>353</v>
      </c>
      <c r="E25" s="85"/>
      <c r="F25" s="85"/>
      <c r="G25" s="118">
        <f>IF(VLOOKUP('Hide - Control'!A$3,'All practice data'!A:CA,C25+4,FALSE)=" "," ",VLOOKUP('Hide - Control'!A$3,'All practice data'!A:CA,C25+4,FALSE))</f>
        <v>17</v>
      </c>
      <c r="H25" s="119">
        <f>IF(VLOOKUP('Hide - Control'!A$3,'All practice data'!A:CA,C25+30,FALSE)=" "," ",VLOOKUP('Hide - Control'!A$3,'All practice data'!A:CA,C25+30,FALSE))</f>
        <v>0.08629441624365482</v>
      </c>
      <c r="I25" s="120">
        <f>IF(LEFT(G25,1)=" "," n/a",IF(G25=0," n/a",+((2*G25+1.96^2-1.96*SQRT(1.96^2+4*G25*(1-G25/G23)))/(2*(G23+1.96^2)))))</f>
        <v>0.054574530670731494</v>
      </c>
      <c r="J25" s="120">
        <f>IF(LEFT(G25,1)=" "," n/a",IF(G25=0," n/a",+((2*G25+1.96^2+1.96*SQRT(1.96^2+4*G25*(1-G25/G23)))/(2*(G23+1.96^2)))))</f>
        <v>0.13384061838205438</v>
      </c>
      <c r="K25" s="125">
        <f>IF('Hide - Calculation'!N19="","",'Hide - Calculation'!N19)</f>
        <v>0.13024193548387097</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0.28723403811454773</v>
      </c>
      <c r="AB25" s="234" t="s">
        <v>26</v>
      </c>
      <c r="AC25" s="131" t="s">
        <v>525</v>
      </c>
    </row>
    <row r="26" spans="2:29" s="63" customFormat="1" ht="33.75" customHeight="1">
      <c r="B26" s="306"/>
      <c r="C26" s="137">
        <v>14</v>
      </c>
      <c r="D26" s="147" t="s">
        <v>495</v>
      </c>
      <c r="E26" s="85"/>
      <c r="F26" s="85"/>
      <c r="G26" s="121">
        <f>IF(VLOOKUP('Hide - Control'!A$3,'All practice data'!A:CA,C26+4,FALSE)=" "," ",VLOOKUP('Hide - Control'!A$3,'All practice data'!A:CA,C26+4,FALSE))</f>
        <v>53</v>
      </c>
      <c r="H26" s="119">
        <f>IF(VLOOKUP('Hide - Control'!A$3,'All practice data'!A:CA,C26+30,FALSE)=" "," ",VLOOKUP('Hide - Control'!A$3,'All practice data'!A:CA,C26+30,FALSE))</f>
        <v>0.32075471698113206</v>
      </c>
      <c r="I26" s="120">
        <f>IF(OR(LEFT(G26,1)=" ",LEFT(G25,1)=" ")," n/a",IF(G26=0," n/a",+((2*G25+1.96^2-1.96*SQRT(1.96^2+4*G25*(1-G25/G26)))/(2*(G26+1.96^2)))))</f>
        <v>0.21092044589340303</v>
      </c>
      <c r="J26" s="120">
        <f>IF(OR(LEFT(G26,1)=" ",LEFT(G25,1)=" ")," n/a",IF(G26=0," n/a",+((2*G25+1.96^2+1.96*SQRT(1.96^2+4*G25*(1-G25/G26)))/(2*(G26+1.96^2)))))</f>
        <v>0.4548173236275112</v>
      </c>
      <c r="K26" s="125">
        <f>IF('Hide - Calculation'!N20="","",'Hide - Calculation'!N20)</f>
        <v>0.4030782029950083</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0.6875</v>
      </c>
      <c r="AB26" s="234" t="s">
        <v>26</v>
      </c>
      <c r="AC26" s="131" t="s">
        <v>525</v>
      </c>
    </row>
    <row r="27" spans="2:29" s="63" customFormat="1" ht="33.75" customHeight="1">
      <c r="B27" s="306"/>
      <c r="C27" s="137">
        <v>15</v>
      </c>
      <c r="D27" s="147" t="s">
        <v>482</v>
      </c>
      <c r="E27" s="85"/>
      <c r="F27" s="85"/>
      <c r="G27" s="121">
        <f>IF(VLOOKUP('Hide - Control'!A$3,'All practice data'!A:CA,C27+4,FALSE)=" "," ",VLOOKUP('Hide - Control'!A$3,'All practice data'!A:CA,C27+4,FALSE))</f>
        <v>43</v>
      </c>
      <c r="H27" s="122">
        <f>IF(VLOOKUP('Hide - Control'!A$3,'All practice data'!A:CA,C27+30,FALSE)=" "," ",VLOOKUP('Hide - Control'!A$3,'All practice data'!A:CA,C27+30,FALSE))</f>
        <v>349.50825002032025</v>
      </c>
      <c r="I27" s="123">
        <f>IF(LEFT(G27,1)=" "," n/a",IF(G27&lt;5,100000*VLOOKUP(G27,'Hide - Calculation'!AQ:AR,2,FALSE)/$E$8,100000*(G27*(1-1/(9*G27)-1.96/(3*SQRT(G27)))^3)/$E$8))</f>
        <v>252.91376455048982</v>
      </c>
      <c r="J27" s="123">
        <f>IF(LEFT(G27,1)=" "," n/a",IF(G27&lt;5,100000*VLOOKUP(G27,'Hide - Calculation'!AQ:AS,3,FALSE)/$E$8,100000*((G27+1)*(1-1/(9*(G27+1))+1.96/(3*SQRT(G27+1)))^3)/$E$8))</f>
        <v>470.7993048703072</v>
      </c>
      <c r="K27" s="122">
        <f>IF('Hide - Calculation'!N21="","",'Hide - Calculation'!N21)</f>
        <v>332.399788059992</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622.5470581054688</v>
      </c>
      <c r="AB27" s="234" t="s">
        <v>26</v>
      </c>
      <c r="AC27" s="131" t="s">
        <v>525</v>
      </c>
    </row>
    <row r="28" spans="2:29" s="63" customFormat="1" ht="33.75" customHeight="1">
      <c r="B28" s="306"/>
      <c r="C28" s="137">
        <v>16</v>
      </c>
      <c r="D28" s="147" t="s">
        <v>483</v>
      </c>
      <c r="E28" s="85"/>
      <c r="F28" s="85"/>
      <c r="G28" s="121">
        <f>IF(VLOOKUP('Hide - Control'!A$3,'All practice data'!A:CA,C28+4,FALSE)=" "," ",VLOOKUP('Hide - Control'!A$3,'All practice data'!A:CA,C28+4,FALSE))</f>
        <v>29</v>
      </c>
      <c r="H28" s="122">
        <f>IF(VLOOKUP('Hide - Control'!A$3,'All practice data'!A:CA,C28+30,FALSE)=" "," ",VLOOKUP('Hide - Control'!A$3,'All practice data'!A:CA,C28+30,FALSE))</f>
        <v>235.71486629277413</v>
      </c>
      <c r="I28" s="123">
        <f>IF(LEFT(G28,1)=" "," n/a",IF(G28&lt;5,100000*VLOOKUP(G28,'Hide - Calculation'!AQ:AR,2,FALSE)/$E$8,100000*(G28*(1-1/(9*G28)-1.96/(3*SQRT(G28)))^3)/$E$8))</f>
        <v>157.8280642547907</v>
      </c>
      <c r="J28" s="123">
        <f>IF(LEFT(G28,1)=" "," n/a",IF(G28&lt;5,100000*VLOOKUP(G28,'Hide - Calculation'!AQ:AS,3,FALSE)/$E$8,100000*((G28+1)*(1-1/(9*(G28+1))+1.96/(3*SQRT(G28+1)))^3)/$E$8))</f>
        <v>338.54013890590164</v>
      </c>
      <c r="K28" s="122">
        <f>IF('Hide - Calculation'!N22="","",'Hide - Calculation'!N22)</f>
        <v>310.7732566312352</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1178.9925537109375</v>
      </c>
      <c r="AB28" s="234" t="s">
        <v>26</v>
      </c>
      <c r="AC28" s="131" t="s">
        <v>525</v>
      </c>
    </row>
    <row r="29" spans="2:29" s="63" customFormat="1" ht="33.75" customHeight="1">
      <c r="B29" s="306"/>
      <c r="C29" s="137">
        <v>17</v>
      </c>
      <c r="D29" s="147" t="s">
        <v>484</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60.1217573719439</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225.39443969726562</v>
      </c>
      <c r="AB29" s="234" t="s">
        <v>26</v>
      </c>
      <c r="AC29" s="131" t="s">
        <v>525</v>
      </c>
    </row>
    <row r="30" spans="2:29" s="63" customFormat="1" ht="33.75" customHeight="1" thickBot="1">
      <c r="B30" s="309"/>
      <c r="C30" s="180">
        <v>18</v>
      </c>
      <c r="D30" s="181" t="s">
        <v>485</v>
      </c>
      <c r="E30" s="182"/>
      <c r="F30" s="182"/>
      <c r="G30" s="183">
        <f>IF(VLOOKUP('Hide - Control'!A$3,'All practice data'!A:CA,C30+4,FALSE)=" "," ",VLOOKUP('Hide - Control'!A$3,'All practice data'!A:CA,C30+4,FALSE))</f>
        <v>41</v>
      </c>
      <c r="H30" s="184">
        <f>IF(VLOOKUP('Hide - Control'!A$3,'All practice data'!A:CA,C30+30,FALSE)=" "," ",VLOOKUP('Hide - Control'!A$3,'All practice data'!A:CA,C30+30,FALSE))</f>
        <v>333.2520523449565</v>
      </c>
      <c r="I30" s="185">
        <f>IF(LEFT(G30,1)=" "," n/a",IF(G30&lt;5,100000*VLOOKUP(G30,'Hide - Calculation'!AQ:AR,2,FALSE)/$E$8,100000*(G30*(1-1/(9*G30)-1.96/(3*SQRT(G30)))^3)/$E$8))</f>
        <v>239.11961697391084</v>
      </c>
      <c r="J30" s="185">
        <f>IF(LEFT(G30,1)=" "," n/a",IF(G30&lt;5,100000*VLOOKUP(G30,'Hide - Calculation'!AQ:AS,3,FALSE)/$E$8,100000*((G30+1)*(1-1/(9*(G30+1))+1.96/(3*SQRT(G30+1)))^3)/$E$8))</f>
        <v>452.1080811750439</v>
      </c>
      <c r="K30" s="184">
        <f>IF('Hide - Calculation'!N24="","",'Hide - Calculation'!N24)</f>
        <v>329.15580834567845</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919.11767578125</v>
      </c>
      <c r="AB30" s="235" t="s">
        <v>26</v>
      </c>
      <c r="AC30" s="189" t="s">
        <v>525</v>
      </c>
    </row>
    <row r="31" spans="2:29" s="63" customFormat="1" ht="33.75" customHeight="1">
      <c r="B31" s="304" t="s">
        <v>355</v>
      </c>
      <c r="C31" s="163">
        <v>19</v>
      </c>
      <c r="D31" s="164" t="s">
        <v>359</v>
      </c>
      <c r="E31" s="165"/>
      <c r="F31" s="165"/>
      <c r="G31" s="166">
        <f>IF(VLOOKUP('Hide - Control'!A$3,'All practice data'!A:CA,C31+4,FALSE)=" "," ",VLOOKUP('Hide - Control'!A$3,'All practice data'!A:CA,C31+4,FALSE))</f>
        <v>65</v>
      </c>
      <c r="H31" s="167">
        <f>IF(VLOOKUP('Hide - Control'!A$3,'All practice data'!A:CA,C31+30,FALSE)=" "," ",VLOOKUP('Hide - Control'!A$3,'All practice data'!A:CA,C31+30,FALSE))</f>
        <v>528.3264244493213</v>
      </c>
      <c r="I31" s="168">
        <f>IF(LEFT(G31,1)=" "," n/a",IF(G31&lt;5,100000*VLOOKUP(G31,'Hide - Calculation'!AQ:AR,2,FALSE)/$E$8,100000*(G31*(1-1/(9*G31)-1.96/(3*SQRT(G31)))^3)/$E$8))</f>
        <v>407.72936201713185</v>
      </c>
      <c r="J31" s="168">
        <f>IF(LEFT(G31,1)=" "," n/a",IF(G31&lt;5,100000*VLOOKUP(G31,'Hide - Calculation'!AQ:AS,3,FALSE)/$E$8,100000*((G31+1)*(1-1/(9*(G31+1))+1.96/(3*SQRT(G31+1)))^3)/$E$8))</f>
        <v>673.4087541688048</v>
      </c>
      <c r="K31" s="167">
        <f>IF('Hide - Calculation'!N25="","",'Hide - Calculation'!N25)</f>
        <v>531.147611890267</v>
      </c>
      <c r="L31" s="169">
        <f>'Hide - Calculation'!O25</f>
        <v>562.6134400960308</v>
      </c>
      <c r="M31" s="170">
        <f>IF(ISBLANK('Hide - Calculation'!K25),"",'Hide - Calculation'!U25)</f>
        <v>165.1982421875</v>
      </c>
      <c r="N31" s="171"/>
      <c r="O31" s="172"/>
      <c r="P31" s="172"/>
      <c r="Q31" s="172"/>
      <c r="R31" s="173"/>
      <c r="S31" s="173"/>
      <c r="T31" s="173"/>
      <c r="U31" s="173"/>
      <c r="V31" s="173"/>
      <c r="W31" s="173"/>
      <c r="X31" s="173"/>
      <c r="Y31" s="173"/>
      <c r="Z31" s="174"/>
      <c r="AA31" s="170">
        <f>IF(ISBLANK('Hide - Calculation'!K25),"",'Hide - Calculation'!T25)</f>
        <v>1005.1829833984375</v>
      </c>
      <c r="AB31" s="233" t="s">
        <v>47</v>
      </c>
      <c r="AC31" s="175" t="s">
        <v>525</v>
      </c>
    </row>
    <row r="32" spans="2:29" s="63" customFormat="1" ht="33.75" customHeight="1">
      <c r="B32" s="305"/>
      <c r="C32" s="137">
        <v>20</v>
      </c>
      <c r="D32" s="132" t="s">
        <v>360</v>
      </c>
      <c r="E32" s="85"/>
      <c r="F32" s="85"/>
      <c r="G32" s="121">
        <f>IF(VLOOKUP('Hide - Control'!A$3,'All practice data'!A:CA,C32+4,FALSE)=" "," ",VLOOKUP('Hide - Control'!A$3,'All practice data'!A:CA,C32+4,FALSE))</f>
        <v>23</v>
      </c>
      <c r="H32" s="122">
        <f>IF(VLOOKUP('Hide - Control'!A$3,'All practice data'!A:CA,C32+30,FALSE)=" "," ",VLOOKUP('Hide - Control'!A$3,'All practice data'!A:CA,C32+30,FALSE))</f>
        <v>186.94627326668294</v>
      </c>
      <c r="I32" s="123">
        <f>IF(LEFT(G32,1)=" "," n/a",IF(G32&lt;5,100000*VLOOKUP(G32,'Hide - Calculation'!AQ:AR,2,FALSE)/$E$8,100000*(G32*(1-1/(9*G32)-1.96/(3*SQRT(G32)))^3)/$E$8))</f>
        <v>118.4690176894261</v>
      </c>
      <c r="J32" s="123">
        <f>IF(LEFT(G32,1)=" "," n/a",IF(G32&lt;5,100000*VLOOKUP(G32,'Hide - Calculation'!AQ:AS,3,FALSE)/$E$8,100000*((G32+1)*(1-1/(9*(G32+1))+1.96/(3*SQRT(G32+1)))^3)/$E$8))</f>
        <v>280.5253602525936</v>
      </c>
      <c r="K32" s="122">
        <f>IF('Hide - Calculation'!N26="","",'Hide - Calculation'!N26)</f>
        <v>341.0504006314947</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980.3921508789062</v>
      </c>
      <c r="AB32" s="234" t="s">
        <v>47</v>
      </c>
      <c r="AC32" s="131" t="s">
        <v>525</v>
      </c>
    </row>
    <row r="33" spans="2:29" s="63" customFormat="1" ht="33.75" customHeight="1">
      <c r="B33" s="305"/>
      <c r="C33" s="137">
        <v>21</v>
      </c>
      <c r="D33" s="132" t="s">
        <v>362</v>
      </c>
      <c r="E33" s="85"/>
      <c r="F33" s="85"/>
      <c r="G33" s="121">
        <f>IF(VLOOKUP('Hide - Control'!A$3,'All practice data'!A:CA,C33+4,FALSE)=" "," ",VLOOKUP('Hide - Control'!A$3,'All practice data'!A:CA,C33+4,FALSE))</f>
        <v>172</v>
      </c>
      <c r="H33" s="122">
        <f>IF(VLOOKUP('Hide - Control'!A$3,'All practice data'!A:CA,C33+30,FALSE)=" "," ",VLOOKUP('Hide - Control'!A$3,'All practice data'!A:CA,C33+30,FALSE))</f>
        <v>1398.033000081281</v>
      </c>
      <c r="I33" s="123">
        <f>IF(LEFT(G33,1)=" "," n/a",IF(G33&lt;5,100000*VLOOKUP(G33,'Hide - Calculation'!AQ:AR,2,FALSE)/$E$8,100000*(G33*(1-1/(9*G33)-1.96/(3*SQRT(G33)))^3)/$E$8))</f>
        <v>1196.889907801039</v>
      </c>
      <c r="J33" s="123">
        <f>IF(LEFT(G33,1)=" "," n/a",IF(G33&lt;5,100000*VLOOKUP(G33,'Hide - Calculation'!AQ:AS,3,FALSE)/$E$8,100000*((G33+1)*(1-1/(9*(G33+1))+1.96/(3*SQRT(G33+1)))^3)/$E$8))</f>
        <v>1623.2989092469575</v>
      </c>
      <c r="K33" s="122">
        <f>IF('Hide - Calculation'!N27="","",'Hide - Calculation'!N27)</f>
        <v>1130.418797781118</v>
      </c>
      <c r="L33" s="156">
        <f>'Hide - Calculation'!O27</f>
        <v>1059.3522061277838</v>
      </c>
      <c r="M33" s="148">
        <f>IF(ISBLANK('Hide - Calculation'!K27),"",'Hide - Calculation'!U27)</f>
        <v>483.8514709472656</v>
      </c>
      <c r="N33" s="86"/>
      <c r="O33" s="87"/>
      <c r="P33" s="87"/>
      <c r="Q33" s="87"/>
      <c r="R33" s="84"/>
      <c r="S33" s="84"/>
      <c r="T33" s="84"/>
      <c r="U33" s="84"/>
      <c r="V33" s="84"/>
      <c r="W33" s="84"/>
      <c r="X33" s="84"/>
      <c r="Y33" s="84"/>
      <c r="Z33" s="88"/>
      <c r="AA33" s="148">
        <f>IF(ISBLANK('Hide - Calculation'!K27),"",'Hide - Calculation'!T27)</f>
        <v>1660.4805908203125</v>
      </c>
      <c r="AB33" s="234" t="s">
        <v>47</v>
      </c>
      <c r="AC33" s="131" t="s">
        <v>525</v>
      </c>
    </row>
    <row r="34" spans="2:29" s="63" customFormat="1" ht="33.75" customHeight="1">
      <c r="B34" s="305"/>
      <c r="C34" s="137">
        <v>22</v>
      </c>
      <c r="D34" s="132" t="s">
        <v>361</v>
      </c>
      <c r="E34" s="85"/>
      <c r="F34" s="85"/>
      <c r="G34" s="118">
        <f>IF(VLOOKUP('Hide - Control'!A$3,'All practice data'!A:CA,C34+4,FALSE)=" "," ",VLOOKUP('Hide - Control'!A$3,'All practice data'!A:CA,C34+4,FALSE))</f>
        <v>55</v>
      </c>
      <c r="H34" s="122">
        <f>IF(VLOOKUP('Hide - Control'!A$3,'All practice data'!A:CA,C34+30,FALSE)=" "," ",VLOOKUP('Hide - Control'!A$3,'All practice data'!A:CA,C34+30,FALSE))</f>
        <v>447.04543607250264</v>
      </c>
      <c r="I34" s="123">
        <f>IF(LEFT(G34,1)=" "," n/a",IF(G34&lt;5,100000*VLOOKUP(G34,'Hide - Calculation'!AQ:AR,2,FALSE)/$E$8,100000*(G34*(1-1/(9*G34)-1.96/(3*SQRT(G34)))^3)/$E$8))</f>
        <v>336.75205152572363</v>
      </c>
      <c r="J34" s="123">
        <f>IF(LEFT(G34,1)=" "," n/a",IF(G34&lt;5,100000*VLOOKUP(G34,'Hide - Calculation'!AQ:AS,3,FALSE)/$E$8,100000*((G34+1)*(1-1/(9*(G34+1))+1.96/(3*SQRT(G34+1)))^3)/$E$8))</f>
        <v>581.9047153935325</v>
      </c>
      <c r="K34" s="122">
        <f>IF('Hide - Calculation'!N28="","",'Hide - Calculation'!N28)</f>
        <v>619.3838601195947</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1250.244140625</v>
      </c>
      <c r="AB34" s="234" t="s">
        <v>47</v>
      </c>
      <c r="AC34" s="131" t="s">
        <v>525</v>
      </c>
    </row>
    <row r="35" spans="2:29" s="63" customFormat="1" ht="33.75" customHeight="1">
      <c r="B35" s="305"/>
      <c r="C35" s="137">
        <v>23</v>
      </c>
      <c r="D35" s="138" t="s">
        <v>486</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347</v>
      </c>
      <c r="AC35" s="131">
        <v>2008</v>
      </c>
    </row>
    <row r="36" spans="2:29" ht="33.75" customHeight="1">
      <c r="B36" s="306"/>
      <c r="C36" s="137">
        <v>24</v>
      </c>
      <c r="D36" s="224" t="s">
        <v>487</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347</v>
      </c>
      <c r="AC36" s="131">
        <v>2008</v>
      </c>
    </row>
    <row r="37" spans="2:29" ht="33.75" customHeight="1" thickBot="1">
      <c r="B37" s="307"/>
      <c r="C37" s="176">
        <v>25</v>
      </c>
      <c r="D37" s="177" t="s">
        <v>363</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347</v>
      </c>
      <c r="AC37" s="149">
        <v>2008</v>
      </c>
    </row>
    <row r="38" spans="2:29" ht="16.5" customHeight="1">
      <c r="B38" s="69"/>
      <c r="C38" s="69"/>
      <c r="D38" s="65" t="s">
        <v>345</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594</v>
      </c>
      <c r="C39" s="244"/>
      <c r="D39" s="244"/>
      <c r="E39" s="303" t="s">
        <v>598</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511</v>
      </c>
      <c r="BE2" s="341"/>
      <c r="BF2" s="341"/>
      <c r="BG2" s="341"/>
      <c r="BH2" s="341"/>
      <c r="BI2" s="341"/>
      <c r="BJ2" s="342"/>
    </row>
    <row r="3" spans="1:82" s="72" customFormat="1" ht="76.5" customHeight="1">
      <c r="A3" s="266" t="s">
        <v>276</v>
      </c>
      <c r="B3" s="275" t="s">
        <v>277</v>
      </c>
      <c r="C3" s="276" t="s">
        <v>49</v>
      </c>
      <c r="D3" s="274" t="s">
        <v>496</v>
      </c>
      <c r="E3" s="267" t="s">
        <v>368</v>
      </c>
      <c r="F3" s="267" t="s">
        <v>479</v>
      </c>
      <c r="G3" s="267" t="s">
        <v>370</v>
      </c>
      <c r="H3" s="267" t="s">
        <v>371</v>
      </c>
      <c r="I3" s="267" t="s">
        <v>372</v>
      </c>
      <c r="J3" s="267" t="s">
        <v>520</v>
      </c>
      <c r="K3" s="267" t="s">
        <v>521</v>
      </c>
      <c r="L3" s="267" t="s">
        <v>522</v>
      </c>
      <c r="M3" s="267" t="s">
        <v>373</v>
      </c>
      <c r="N3" s="267" t="s">
        <v>374</v>
      </c>
      <c r="O3" s="267" t="s">
        <v>375</v>
      </c>
      <c r="P3" s="267" t="s">
        <v>510</v>
      </c>
      <c r="Q3" s="267" t="s">
        <v>376</v>
      </c>
      <c r="R3" s="267" t="s">
        <v>377</v>
      </c>
      <c r="S3" s="267" t="s">
        <v>378</v>
      </c>
      <c r="T3" s="267" t="s">
        <v>379</v>
      </c>
      <c r="U3" s="267" t="s">
        <v>380</v>
      </c>
      <c r="V3" s="267" t="s">
        <v>381</v>
      </c>
      <c r="W3" s="267" t="s">
        <v>382</v>
      </c>
      <c r="X3" s="267" t="s">
        <v>383</v>
      </c>
      <c r="Y3" s="267" t="s">
        <v>384</v>
      </c>
      <c r="Z3" s="267" t="s">
        <v>385</v>
      </c>
      <c r="AA3" s="267" t="s">
        <v>386</v>
      </c>
      <c r="AB3" s="267" t="s">
        <v>387</v>
      </c>
      <c r="AC3" s="267" t="s">
        <v>388</v>
      </c>
      <c r="AD3" s="268" t="s">
        <v>389</v>
      </c>
      <c r="AE3" s="268" t="s">
        <v>368</v>
      </c>
      <c r="AF3" s="269" t="s">
        <v>369</v>
      </c>
      <c r="AG3" s="268" t="s">
        <v>370</v>
      </c>
      <c r="AH3" s="268" t="s">
        <v>371</v>
      </c>
      <c r="AI3" s="268" t="s">
        <v>372</v>
      </c>
      <c r="AJ3" s="268" t="s">
        <v>520</v>
      </c>
      <c r="AK3" s="268" t="s">
        <v>521</v>
      </c>
      <c r="AL3" s="268" t="s">
        <v>522</v>
      </c>
      <c r="AM3" s="268" t="s">
        <v>373</v>
      </c>
      <c r="AN3" s="268" t="s">
        <v>374</v>
      </c>
      <c r="AO3" s="268" t="s">
        <v>375</v>
      </c>
      <c r="AP3" s="268" t="s">
        <v>510</v>
      </c>
      <c r="AQ3" s="268" t="s">
        <v>376</v>
      </c>
      <c r="AR3" s="268" t="s">
        <v>377</v>
      </c>
      <c r="AS3" s="268" t="s">
        <v>378</v>
      </c>
      <c r="AT3" s="268" t="s">
        <v>379</v>
      </c>
      <c r="AU3" s="268" t="s">
        <v>380</v>
      </c>
      <c r="AV3" s="268" t="s">
        <v>381</v>
      </c>
      <c r="AW3" s="268" t="s">
        <v>382</v>
      </c>
      <c r="AX3" s="268" t="s">
        <v>383</v>
      </c>
      <c r="AY3" s="270" t="s">
        <v>384</v>
      </c>
      <c r="AZ3" s="271" t="s">
        <v>385</v>
      </c>
      <c r="BA3" s="271" t="s">
        <v>386</v>
      </c>
      <c r="BB3" s="271" t="s">
        <v>387</v>
      </c>
      <c r="BC3" s="272" t="s">
        <v>388</v>
      </c>
      <c r="BD3" s="273" t="s">
        <v>508</v>
      </c>
      <c r="BE3" s="273" t="s">
        <v>509</v>
      </c>
      <c r="BF3" s="273" t="s">
        <v>516</v>
      </c>
      <c r="BG3" s="273" t="s">
        <v>517</v>
      </c>
      <c r="BH3" s="273" t="s">
        <v>515</v>
      </c>
      <c r="BI3" s="273" t="s">
        <v>518</v>
      </c>
      <c r="BJ3" s="273" t="s">
        <v>519</v>
      </c>
      <c r="BK3" s="73"/>
      <c r="BL3" s="73"/>
      <c r="BM3" s="73"/>
      <c r="BN3" s="73"/>
      <c r="BO3" s="73"/>
      <c r="BP3" s="73"/>
      <c r="BQ3" s="73"/>
      <c r="BR3" s="73"/>
      <c r="BS3" s="73"/>
      <c r="BT3" s="73"/>
      <c r="BU3" s="73"/>
      <c r="BV3" s="73"/>
      <c r="BW3" s="73"/>
      <c r="BX3" s="73"/>
      <c r="BY3" s="73"/>
      <c r="BZ3" s="73"/>
      <c r="CA3" s="73"/>
      <c r="CB3" s="73"/>
      <c r="CC3" s="73"/>
      <c r="CD3" s="73"/>
    </row>
    <row r="4" spans="1:66" ht="12.75">
      <c r="A4" s="79" t="s">
        <v>539</v>
      </c>
      <c r="B4" s="79" t="s">
        <v>293</v>
      </c>
      <c r="C4" s="79" t="s">
        <v>266</v>
      </c>
      <c r="D4" s="99">
        <v>12303</v>
      </c>
      <c r="E4" s="99">
        <v>2010</v>
      </c>
      <c r="F4" s="99" t="s">
        <v>366</v>
      </c>
      <c r="G4" s="99">
        <v>61</v>
      </c>
      <c r="H4" s="99">
        <v>30</v>
      </c>
      <c r="I4" s="99">
        <v>235</v>
      </c>
      <c r="J4" s="99">
        <v>995</v>
      </c>
      <c r="K4" s="99">
        <v>25</v>
      </c>
      <c r="L4" s="99">
        <v>2124</v>
      </c>
      <c r="M4" s="99">
        <v>752</v>
      </c>
      <c r="N4" s="99">
        <v>401</v>
      </c>
      <c r="O4" s="99">
        <v>197</v>
      </c>
      <c r="P4" s="159">
        <v>197</v>
      </c>
      <c r="Q4" s="99">
        <v>17</v>
      </c>
      <c r="R4" s="99">
        <v>53</v>
      </c>
      <c r="S4" s="99">
        <v>43</v>
      </c>
      <c r="T4" s="99">
        <v>29</v>
      </c>
      <c r="U4" s="99" t="s">
        <v>597</v>
      </c>
      <c r="V4" s="99">
        <v>41</v>
      </c>
      <c r="W4" s="99">
        <v>65</v>
      </c>
      <c r="X4" s="99">
        <v>23</v>
      </c>
      <c r="Y4" s="99">
        <v>172</v>
      </c>
      <c r="Z4" s="99">
        <v>55</v>
      </c>
      <c r="AA4" s="99" t="s">
        <v>597</v>
      </c>
      <c r="AB4" s="99" t="s">
        <v>597</v>
      </c>
      <c r="AC4" s="99" t="s">
        <v>597</v>
      </c>
      <c r="AD4" s="98" t="s">
        <v>345</v>
      </c>
      <c r="AE4" s="100">
        <v>0.1633747866374055</v>
      </c>
      <c r="AF4" s="100">
        <v>0.12</v>
      </c>
      <c r="AG4" s="98">
        <v>495.81402909859383</v>
      </c>
      <c r="AH4" s="98">
        <v>243.84296513045598</v>
      </c>
      <c r="AI4" s="100">
        <v>0.019</v>
      </c>
      <c r="AJ4" s="100">
        <v>0.701693</v>
      </c>
      <c r="AK4" s="100">
        <v>0.581395</v>
      </c>
      <c r="AL4" s="100">
        <v>0.704711</v>
      </c>
      <c r="AM4" s="100">
        <v>0.602082</v>
      </c>
      <c r="AN4" s="100">
        <v>0.614089</v>
      </c>
      <c r="AO4" s="98">
        <v>1601.2354710233276</v>
      </c>
      <c r="AP4" s="158">
        <v>0.8751690674</v>
      </c>
      <c r="AQ4" s="100">
        <v>0.08629441624365482</v>
      </c>
      <c r="AR4" s="100">
        <v>0.32075471698113206</v>
      </c>
      <c r="AS4" s="98">
        <v>349.50825002032025</v>
      </c>
      <c r="AT4" s="98">
        <v>235.71486629277413</v>
      </c>
      <c r="AU4" s="98" t="s">
        <v>597</v>
      </c>
      <c r="AV4" s="98">
        <v>333.2520523449565</v>
      </c>
      <c r="AW4" s="98">
        <v>528.3264244493213</v>
      </c>
      <c r="AX4" s="98">
        <v>186.94627326668294</v>
      </c>
      <c r="AY4" s="98">
        <v>1398.033000081281</v>
      </c>
      <c r="AZ4" s="98">
        <v>447.04543607250264</v>
      </c>
      <c r="BA4" s="100" t="s">
        <v>597</v>
      </c>
      <c r="BB4" s="100" t="s">
        <v>597</v>
      </c>
      <c r="BC4" s="100" t="s">
        <v>597</v>
      </c>
      <c r="BD4" s="158">
        <v>0.7572195435000001</v>
      </c>
      <c r="BE4" s="158">
        <v>1.00628334</v>
      </c>
      <c r="BF4" s="162">
        <v>1418</v>
      </c>
      <c r="BG4" s="162">
        <v>43</v>
      </c>
      <c r="BH4" s="162">
        <v>3014</v>
      </c>
      <c r="BI4" s="162">
        <v>1249</v>
      </c>
      <c r="BJ4" s="162">
        <v>653</v>
      </c>
      <c r="BK4" s="97"/>
      <c r="BL4" s="97"/>
      <c r="BM4" s="97"/>
      <c r="BN4" s="97"/>
    </row>
    <row r="5" spans="1:66" ht="12.75">
      <c r="A5" s="79" t="s">
        <v>578</v>
      </c>
      <c r="B5" s="79" t="s">
        <v>332</v>
      </c>
      <c r="C5" s="79" t="s">
        <v>266</v>
      </c>
      <c r="D5" s="99">
        <v>3241</v>
      </c>
      <c r="E5" s="99">
        <v>626</v>
      </c>
      <c r="F5" s="99" t="s">
        <v>367</v>
      </c>
      <c r="G5" s="99">
        <v>8</v>
      </c>
      <c r="H5" s="99" t="s">
        <v>597</v>
      </c>
      <c r="I5" s="99">
        <v>70</v>
      </c>
      <c r="J5" s="99">
        <v>403</v>
      </c>
      <c r="K5" s="99" t="s">
        <v>597</v>
      </c>
      <c r="L5" s="99">
        <v>708</v>
      </c>
      <c r="M5" s="99">
        <v>284</v>
      </c>
      <c r="N5" s="99">
        <v>153</v>
      </c>
      <c r="O5" s="99">
        <v>44</v>
      </c>
      <c r="P5" s="159">
        <v>44</v>
      </c>
      <c r="Q5" s="99" t="s">
        <v>597</v>
      </c>
      <c r="R5" s="99">
        <v>13</v>
      </c>
      <c r="S5" s="99">
        <v>13</v>
      </c>
      <c r="T5" s="99" t="s">
        <v>597</v>
      </c>
      <c r="U5" s="99" t="s">
        <v>597</v>
      </c>
      <c r="V5" s="99">
        <v>19</v>
      </c>
      <c r="W5" s="99">
        <v>30</v>
      </c>
      <c r="X5" s="99">
        <v>6</v>
      </c>
      <c r="Y5" s="99">
        <v>40</v>
      </c>
      <c r="Z5" s="99">
        <v>21</v>
      </c>
      <c r="AA5" s="99" t="s">
        <v>597</v>
      </c>
      <c r="AB5" s="99" t="s">
        <v>597</v>
      </c>
      <c r="AC5" s="99" t="s">
        <v>597</v>
      </c>
      <c r="AD5" s="98" t="s">
        <v>345</v>
      </c>
      <c r="AE5" s="100">
        <v>0.1931502622647331</v>
      </c>
      <c r="AF5" s="100">
        <v>0.08</v>
      </c>
      <c r="AG5" s="98">
        <v>246.8373958654736</v>
      </c>
      <c r="AH5" s="98" t="s">
        <v>597</v>
      </c>
      <c r="AI5" s="100">
        <v>0.022000000000000002</v>
      </c>
      <c r="AJ5" s="100">
        <v>0.744917</v>
      </c>
      <c r="AK5" s="100" t="s">
        <v>597</v>
      </c>
      <c r="AL5" s="100">
        <v>0.784922</v>
      </c>
      <c r="AM5" s="100">
        <v>0.610753</v>
      </c>
      <c r="AN5" s="100">
        <v>0.656652</v>
      </c>
      <c r="AO5" s="98">
        <v>1357.6056772601048</v>
      </c>
      <c r="AP5" s="158">
        <v>0.631088562</v>
      </c>
      <c r="AQ5" s="100" t="s">
        <v>597</v>
      </c>
      <c r="AR5" s="100" t="s">
        <v>597</v>
      </c>
      <c r="AS5" s="98">
        <v>401.11076828139466</v>
      </c>
      <c r="AT5" s="98" t="s">
        <v>597</v>
      </c>
      <c r="AU5" s="98" t="s">
        <v>597</v>
      </c>
      <c r="AV5" s="98">
        <v>586.2388151804998</v>
      </c>
      <c r="AW5" s="98">
        <v>925.6402344955261</v>
      </c>
      <c r="AX5" s="98">
        <v>185.12804689910521</v>
      </c>
      <c r="AY5" s="98">
        <v>1234.1869793273681</v>
      </c>
      <c r="AZ5" s="98">
        <v>647.9481641468683</v>
      </c>
      <c r="BA5" s="100" t="s">
        <v>597</v>
      </c>
      <c r="BB5" s="100" t="s">
        <v>597</v>
      </c>
      <c r="BC5" s="100" t="s">
        <v>597</v>
      </c>
      <c r="BD5" s="158">
        <v>0.45854991910000004</v>
      </c>
      <c r="BE5" s="158">
        <v>0.8472069550000001</v>
      </c>
      <c r="BF5" s="162">
        <v>541</v>
      </c>
      <c r="BG5" s="162" t="s">
        <v>597</v>
      </c>
      <c r="BH5" s="162">
        <v>902</v>
      </c>
      <c r="BI5" s="162">
        <v>465</v>
      </c>
      <c r="BJ5" s="162">
        <v>233</v>
      </c>
      <c r="BK5" s="97"/>
      <c r="BL5" s="97"/>
      <c r="BM5" s="97"/>
      <c r="BN5" s="97"/>
    </row>
    <row r="6" spans="1:66" ht="12.75">
      <c r="A6" s="79" t="s">
        <v>541</v>
      </c>
      <c r="B6" s="79" t="s">
        <v>295</v>
      </c>
      <c r="C6" s="79" t="s">
        <v>266</v>
      </c>
      <c r="D6" s="99">
        <v>16309</v>
      </c>
      <c r="E6" s="99">
        <v>3606</v>
      </c>
      <c r="F6" s="99" t="s">
        <v>366</v>
      </c>
      <c r="G6" s="99">
        <v>86</v>
      </c>
      <c r="H6" s="99">
        <v>58</v>
      </c>
      <c r="I6" s="99">
        <v>273</v>
      </c>
      <c r="J6" s="99">
        <v>1715</v>
      </c>
      <c r="K6" s="99">
        <v>1358</v>
      </c>
      <c r="L6" s="99">
        <v>2913</v>
      </c>
      <c r="M6" s="99">
        <v>1242</v>
      </c>
      <c r="N6" s="99">
        <v>626</v>
      </c>
      <c r="O6" s="99">
        <v>273</v>
      </c>
      <c r="P6" s="159">
        <v>273</v>
      </c>
      <c r="Q6" s="99">
        <v>29</v>
      </c>
      <c r="R6" s="99">
        <v>89</v>
      </c>
      <c r="S6" s="99">
        <v>37</v>
      </c>
      <c r="T6" s="99">
        <v>87</v>
      </c>
      <c r="U6" s="99">
        <v>11</v>
      </c>
      <c r="V6" s="99">
        <v>39</v>
      </c>
      <c r="W6" s="99">
        <v>99</v>
      </c>
      <c r="X6" s="99">
        <v>70</v>
      </c>
      <c r="Y6" s="99">
        <v>221</v>
      </c>
      <c r="Z6" s="99">
        <v>136</v>
      </c>
      <c r="AA6" s="99" t="s">
        <v>597</v>
      </c>
      <c r="AB6" s="99" t="s">
        <v>597</v>
      </c>
      <c r="AC6" s="99" t="s">
        <v>597</v>
      </c>
      <c r="AD6" s="98" t="s">
        <v>345</v>
      </c>
      <c r="AE6" s="100">
        <v>0.22110491139861427</v>
      </c>
      <c r="AF6" s="100">
        <v>0.09</v>
      </c>
      <c r="AG6" s="98">
        <v>527.316205775952</v>
      </c>
      <c r="AH6" s="98">
        <v>355.6318597093629</v>
      </c>
      <c r="AI6" s="100">
        <v>0.017</v>
      </c>
      <c r="AJ6" s="100">
        <v>0.734475</v>
      </c>
      <c r="AK6" s="100">
        <v>0.864968</v>
      </c>
      <c r="AL6" s="100">
        <v>0.762965</v>
      </c>
      <c r="AM6" s="100">
        <v>0.555705</v>
      </c>
      <c r="AN6" s="100">
        <v>0.559428</v>
      </c>
      <c r="AO6" s="98">
        <v>1673.9223741492428</v>
      </c>
      <c r="AP6" s="158">
        <v>0.7771595001</v>
      </c>
      <c r="AQ6" s="100">
        <v>0.10622710622710622</v>
      </c>
      <c r="AR6" s="100">
        <v>0.3258426966292135</v>
      </c>
      <c r="AS6" s="98">
        <v>226.8686001594212</v>
      </c>
      <c r="AT6" s="98">
        <v>533.4477895640443</v>
      </c>
      <c r="AU6" s="98">
        <v>67.4474216690171</v>
      </c>
      <c r="AV6" s="98">
        <v>239.1317677356061</v>
      </c>
      <c r="AW6" s="98">
        <v>607.0267950211539</v>
      </c>
      <c r="AX6" s="98">
        <v>429.2108651664725</v>
      </c>
      <c r="AY6" s="98">
        <v>1355.0800171684346</v>
      </c>
      <c r="AZ6" s="98">
        <v>833.8953951805752</v>
      </c>
      <c r="BA6" s="100" t="s">
        <v>597</v>
      </c>
      <c r="BB6" s="100" t="s">
        <v>597</v>
      </c>
      <c r="BC6" s="100" t="s">
        <v>597</v>
      </c>
      <c r="BD6" s="158">
        <v>0.6876961517</v>
      </c>
      <c r="BE6" s="158">
        <v>0.8750295258</v>
      </c>
      <c r="BF6" s="162">
        <v>2335</v>
      </c>
      <c r="BG6" s="162">
        <v>1570</v>
      </c>
      <c r="BH6" s="162">
        <v>3818</v>
      </c>
      <c r="BI6" s="162">
        <v>2235</v>
      </c>
      <c r="BJ6" s="162">
        <v>1119</v>
      </c>
      <c r="BK6" s="97"/>
      <c r="BL6" s="97"/>
      <c r="BM6" s="97"/>
      <c r="BN6" s="97"/>
    </row>
    <row r="7" spans="1:66" ht="12.75">
      <c r="A7" s="79" t="s">
        <v>545</v>
      </c>
      <c r="B7" s="79" t="s">
        <v>299</v>
      </c>
      <c r="C7" s="79" t="s">
        <v>266</v>
      </c>
      <c r="D7" s="99">
        <v>5917</v>
      </c>
      <c r="E7" s="99">
        <v>1099</v>
      </c>
      <c r="F7" s="99" t="s">
        <v>367</v>
      </c>
      <c r="G7" s="99">
        <v>13</v>
      </c>
      <c r="H7" s="99">
        <v>10</v>
      </c>
      <c r="I7" s="99">
        <v>138</v>
      </c>
      <c r="J7" s="99">
        <v>695</v>
      </c>
      <c r="K7" s="99">
        <v>667</v>
      </c>
      <c r="L7" s="99">
        <v>1220</v>
      </c>
      <c r="M7" s="99">
        <v>441</v>
      </c>
      <c r="N7" s="99">
        <v>216</v>
      </c>
      <c r="O7" s="99">
        <v>115</v>
      </c>
      <c r="P7" s="159">
        <v>115</v>
      </c>
      <c r="Q7" s="99">
        <v>10</v>
      </c>
      <c r="R7" s="99">
        <v>29</v>
      </c>
      <c r="S7" s="99">
        <v>25</v>
      </c>
      <c r="T7" s="99">
        <v>31</v>
      </c>
      <c r="U7" s="99" t="s">
        <v>597</v>
      </c>
      <c r="V7" s="99">
        <v>24</v>
      </c>
      <c r="W7" s="99">
        <v>22</v>
      </c>
      <c r="X7" s="99">
        <v>37</v>
      </c>
      <c r="Y7" s="99">
        <v>51</v>
      </c>
      <c r="Z7" s="99">
        <v>32</v>
      </c>
      <c r="AA7" s="99" t="s">
        <v>597</v>
      </c>
      <c r="AB7" s="99" t="s">
        <v>597</v>
      </c>
      <c r="AC7" s="99" t="s">
        <v>597</v>
      </c>
      <c r="AD7" s="98" t="s">
        <v>345</v>
      </c>
      <c r="AE7" s="100">
        <v>0.18573601487240154</v>
      </c>
      <c r="AF7" s="100">
        <v>0.07</v>
      </c>
      <c r="AG7" s="98">
        <v>219.70593206016562</v>
      </c>
      <c r="AH7" s="98">
        <v>169.00456312320432</v>
      </c>
      <c r="AI7" s="100">
        <v>0.023</v>
      </c>
      <c r="AJ7" s="100">
        <v>0.782658</v>
      </c>
      <c r="AK7" s="100">
        <v>0.786557</v>
      </c>
      <c r="AL7" s="100">
        <v>0.818243</v>
      </c>
      <c r="AM7" s="100">
        <v>0.574219</v>
      </c>
      <c r="AN7" s="100">
        <v>0.583784</v>
      </c>
      <c r="AO7" s="98">
        <v>1943.5524759168497</v>
      </c>
      <c r="AP7" s="158">
        <v>0.9439378357</v>
      </c>
      <c r="AQ7" s="100">
        <v>0.08695652173913043</v>
      </c>
      <c r="AR7" s="100">
        <v>0.3448275862068966</v>
      </c>
      <c r="AS7" s="98">
        <v>422.5114078080108</v>
      </c>
      <c r="AT7" s="98">
        <v>523.9141456819334</v>
      </c>
      <c r="AU7" s="98" t="s">
        <v>597</v>
      </c>
      <c r="AV7" s="98">
        <v>405.61095149569036</v>
      </c>
      <c r="AW7" s="98">
        <v>371.8100388710495</v>
      </c>
      <c r="AX7" s="98">
        <v>625.316883555856</v>
      </c>
      <c r="AY7" s="98">
        <v>861.923271928342</v>
      </c>
      <c r="AZ7" s="98">
        <v>540.8146019942538</v>
      </c>
      <c r="BA7" s="100" t="s">
        <v>597</v>
      </c>
      <c r="BB7" s="100" t="s">
        <v>597</v>
      </c>
      <c r="BC7" s="100" t="s">
        <v>597</v>
      </c>
      <c r="BD7" s="158">
        <v>0.7793174744</v>
      </c>
      <c r="BE7" s="158">
        <v>1.133054428</v>
      </c>
      <c r="BF7" s="162">
        <v>888</v>
      </c>
      <c r="BG7" s="162">
        <v>848</v>
      </c>
      <c r="BH7" s="162">
        <v>1491</v>
      </c>
      <c r="BI7" s="162">
        <v>768</v>
      </c>
      <c r="BJ7" s="162">
        <v>370</v>
      </c>
      <c r="BK7" s="97"/>
      <c r="BL7" s="97"/>
      <c r="BM7" s="97"/>
      <c r="BN7" s="97"/>
    </row>
    <row r="8" spans="1:66" ht="12.75">
      <c r="A8" s="79" t="s">
        <v>530</v>
      </c>
      <c r="B8" s="79" t="s">
        <v>284</v>
      </c>
      <c r="C8" s="79" t="s">
        <v>266</v>
      </c>
      <c r="D8" s="99">
        <v>10223</v>
      </c>
      <c r="E8" s="99">
        <v>1499</v>
      </c>
      <c r="F8" s="99" t="s">
        <v>367</v>
      </c>
      <c r="G8" s="99">
        <v>52</v>
      </c>
      <c r="H8" s="99">
        <v>30</v>
      </c>
      <c r="I8" s="99">
        <v>204</v>
      </c>
      <c r="J8" s="99">
        <v>917</v>
      </c>
      <c r="K8" s="99">
        <v>888</v>
      </c>
      <c r="L8" s="99">
        <v>2188</v>
      </c>
      <c r="M8" s="99">
        <v>580</v>
      </c>
      <c r="N8" s="99">
        <v>299</v>
      </c>
      <c r="O8" s="99">
        <v>201</v>
      </c>
      <c r="P8" s="159">
        <v>201</v>
      </c>
      <c r="Q8" s="99">
        <v>18</v>
      </c>
      <c r="R8" s="99">
        <v>52</v>
      </c>
      <c r="S8" s="99">
        <v>58</v>
      </c>
      <c r="T8" s="99">
        <v>47</v>
      </c>
      <c r="U8" s="99">
        <v>11</v>
      </c>
      <c r="V8" s="99">
        <v>32</v>
      </c>
      <c r="W8" s="99">
        <v>35</v>
      </c>
      <c r="X8" s="99">
        <v>67</v>
      </c>
      <c r="Y8" s="99">
        <v>121</v>
      </c>
      <c r="Z8" s="99">
        <v>62</v>
      </c>
      <c r="AA8" s="99" t="s">
        <v>597</v>
      </c>
      <c r="AB8" s="99" t="s">
        <v>597</v>
      </c>
      <c r="AC8" s="99" t="s">
        <v>597</v>
      </c>
      <c r="AD8" s="98" t="s">
        <v>345</v>
      </c>
      <c r="AE8" s="100">
        <v>0.1466301477061528</v>
      </c>
      <c r="AF8" s="100">
        <v>0.08</v>
      </c>
      <c r="AG8" s="98">
        <v>508.6569500146728</v>
      </c>
      <c r="AH8" s="98">
        <v>293.4559327007728</v>
      </c>
      <c r="AI8" s="100">
        <v>0.02</v>
      </c>
      <c r="AJ8" s="100">
        <v>0.76865</v>
      </c>
      <c r="AK8" s="100">
        <v>0.780316</v>
      </c>
      <c r="AL8" s="100">
        <v>0.803821</v>
      </c>
      <c r="AM8" s="100">
        <v>0.581745</v>
      </c>
      <c r="AN8" s="100">
        <v>0.598</v>
      </c>
      <c r="AO8" s="98">
        <v>1966.1547490951775</v>
      </c>
      <c r="AP8" s="158">
        <v>1.092727585</v>
      </c>
      <c r="AQ8" s="100">
        <v>0.08955223880597014</v>
      </c>
      <c r="AR8" s="100">
        <v>0.34615384615384615</v>
      </c>
      <c r="AS8" s="98">
        <v>567.3481365548273</v>
      </c>
      <c r="AT8" s="98">
        <v>459.74762789787735</v>
      </c>
      <c r="AU8" s="98">
        <v>107.60050865695001</v>
      </c>
      <c r="AV8" s="98">
        <v>313.01966154749095</v>
      </c>
      <c r="AW8" s="98">
        <v>342.36525481756826</v>
      </c>
      <c r="AX8" s="98">
        <v>655.3849163650592</v>
      </c>
      <c r="AY8" s="98">
        <v>1183.60559522645</v>
      </c>
      <c r="AZ8" s="98">
        <v>606.4755942482637</v>
      </c>
      <c r="BA8" s="100" t="s">
        <v>597</v>
      </c>
      <c r="BB8" s="100" t="s">
        <v>597</v>
      </c>
      <c r="BC8" s="100" t="s">
        <v>597</v>
      </c>
      <c r="BD8" s="158">
        <v>0.9468764496</v>
      </c>
      <c r="BE8" s="158">
        <v>1.254685287</v>
      </c>
      <c r="BF8" s="162">
        <v>1193</v>
      </c>
      <c r="BG8" s="162">
        <v>1138</v>
      </c>
      <c r="BH8" s="162">
        <v>2722</v>
      </c>
      <c r="BI8" s="162">
        <v>997</v>
      </c>
      <c r="BJ8" s="162">
        <v>500</v>
      </c>
      <c r="BK8" s="97"/>
      <c r="BL8" s="97"/>
      <c r="BM8" s="97"/>
      <c r="BN8" s="97"/>
    </row>
    <row r="9" spans="1:66" ht="12.75">
      <c r="A9" s="79" t="s">
        <v>584</v>
      </c>
      <c r="B9" s="79" t="s">
        <v>338</v>
      </c>
      <c r="C9" s="79" t="s">
        <v>266</v>
      </c>
      <c r="D9" s="99">
        <v>1586</v>
      </c>
      <c r="E9" s="99">
        <v>478</v>
      </c>
      <c r="F9" s="99" t="s">
        <v>367</v>
      </c>
      <c r="G9" s="99">
        <v>19</v>
      </c>
      <c r="H9" s="99" t="s">
        <v>597</v>
      </c>
      <c r="I9" s="99">
        <v>37</v>
      </c>
      <c r="J9" s="99">
        <v>214</v>
      </c>
      <c r="K9" s="99">
        <v>196</v>
      </c>
      <c r="L9" s="99">
        <v>272</v>
      </c>
      <c r="M9" s="99">
        <v>184</v>
      </c>
      <c r="N9" s="99">
        <v>93</v>
      </c>
      <c r="O9" s="99">
        <v>20</v>
      </c>
      <c r="P9" s="159">
        <v>20</v>
      </c>
      <c r="Q9" s="99" t="s">
        <v>597</v>
      </c>
      <c r="R9" s="99">
        <v>12</v>
      </c>
      <c r="S9" s="99" t="s">
        <v>597</v>
      </c>
      <c r="T9" s="99">
        <v>6</v>
      </c>
      <c r="U9" s="99" t="s">
        <v>597</v>
      </c>
      <c r="V9" s="99" t="s">
        <v>597</v>
      </c>
      <c r="W9" s="99">
        <v>6</v>
      </c>
      <c r="X9" s="99">
        <v>9</v>
      </c>
      <c r="Y9" s="99">
        <v>15</v>
      </c>
      <c r="Z9" s="99" t="s">
        <v>597</v>
      </c>
      <c r="AA9" s="99" t="s">
        <v>597</v>
      </c>
      <c r="AB9" s="99" t="s">
        <v>597</v>
      </c>
      <c r="AC9" s="99" t="s">
        <v>597</v>
      </c>
      <c r="AD9" s="98" t="s">
        <v>345</v>
      </c>
      <c r="AE9" s="100">
        <v>0.30138713745271123</v>
      </c>
      <c r="AF9" s="100">
        <v>0.07</v>
      </c>
      <c r="AG9" s="98">
        <v>1197.982345523329</v>
      </c>
      <c r="AH9" s="98" t="s">
        <v>597</v>
      </c>
      <c r="AI9" s="100">
        <v>0.023</v>
      </c>
      <c r="AJ9" s="100">
        <v>0.772563</v>
      </c>
      <c r="AK9" s="100">
        <v>0.784</v>
      </c>
      <c r="AL9" s="100">
        <v>0.783862</v>
      </c>
      <c r="AM9" s="100">
        <v>0.599349</v>
      </c>
      <c r="AN9" s="100">
        <v>0.596154</v>
      </c>
      <c r="AO9" s="98">
        <v>1261.034047919294</v>
      </c>
      <c r="AP9" s="158">
        <v>0.48211559299999995</v>
      </c>
      <c r="AQ9" s="100" t="s">
        <v>597</v>
      </c>
      <c r="AR9" s="100" t="s">
        <v>597</v>
      </c>
      <c r="AS9" s="98" t="s">
        <v>597</v>
      </c>
      <c r="AT9" s="98">
        <v>378.3102143757881</v>
      </c>
      <c r="AU9" s="98" t="s">
        <v>597</v>
      </c>
      <c r="AV9" s="98" t="s">
        <v>597</v>
      </c>
      <c r="AW9" s="98">
        <v>378.3102143757881</v>
      </c>
      <c r="AX9" s="98">
        <v>567.4653215636822</v>
      </c>
      <c r="AY9" s="98">
        <v>945.7755359394704</v>
      </c>
      <c r="AZ9" s="98" t="s">
        <v>597</v>
      </c>
      <c r="BA9" s="100" t="s">
        <v>597</v>
      </c>
      <c r="BB9" s="100" t="s">
        <v>597</v>
      </c>
      <c r="BC9" s="100" t="s">
        <v>597</v>
      </c>
      <c r="BD9" s="158">
        <v>0.2944887352</v>
      </c>
      <c r="BE9" s="158">
        <v>0.7445884705</v>
      </c>
      <c r="BF9" s="162">
        <v>277</v>
      </c>
      <c r="BG9" s="162">
        <v>250</v>
      </c>
      <c r="BH9" s="162">
        <v>347</v>
      </c>
      <c r="BI9" s="162">
        <v>307</v>
      </c>
      <c r="BJ9" s="162">
        <v>156</v>
      </c>
      <c r="BK9" s="97"/>
      <c r="BL9" s="97"/>
      <c r="BM9" s="97"/>
      <c r="BN9" s="97"/>
    </row>
    <row r="10" spans="1:66" ht="12.75">
      <c r="A10" s="79" t="s">
        <v>581</v>
      </c>
      <c r="B10" s="79" t="s">
        <v>335</v>
      </c>
      <c r="C10" s="79" t="s">
        <v>266</v>
      </c>
      <c r="D10" s="99">
        <v>3271</v>
      </c>
      <c r="E10" s="99">
        <v>335</v>
      </c>
      <c r="F10" s="99" t="s">
        <v>365</v>
      </c>
      <c r="G10" s="99" t="s">
        <v>597</v>
      </c>
      <c r="H10" s="99" t="s">
        <v>597</v>
      </c>
      <c r="I10" s="99">
        <v>29</v>
      </c>
      <c r="J10" s="99">
        <v>216</v>
      </c>
      <c r="K10" s="99" t="s">
        <v>597</v>
      </c>
      <c r="L10" s="99">
        <v>588</v>
      </c>
      <c r="M10" s="99">
        <v>117</v>
      </c>
      <c r="N10" s="99">
        <v>63</v>
      </c>
      <c r="O10" s="99">
        <v>49</v>
      </c>
      <c r="P10" s="159">
        <v>49</v>
      </c>
      <c r="Q10" s="99" t="s">
        <v>597</v>
      </c>
      <c r="R10" s="99" t="s">
        <v>597</v>
      </c>
      <c r="S10" s="99">
        <v>16</v>
      </c>
      <c r="T10" s="99">
        <v>14</v>
      </c>
      <c r="U10" s="99" t="s">
        <v>597</v>
      </c>
      <c r="V10" s="99">
        <v>9</v>
      </c>
      <c r="W10" s="99">
        <v>8</v>
      </c>
      <c r="X10" s="99">
        <v>14</v>
      </c>
      <c r="Y10" s="99">
        <v>21</v>
      </c>
      <c r="Z10" s="99">
        <v>11</v>
      </c>
      <c r="AA10" s="99" t="s">
        <v>597</v>
      </c>
      <c r="AB10" s="99" t="s">
        <v>597</v>
      </c>
      <c r="AC10" s="99" t="s">
        <v>597</v>
      </c>
      <c r="AD10" s="98" t="s">
        <v>345</v>
      </c>
      <c r="AE10" s="100">
        <v>0.10241516355854478</v>
      </c>
      <c r="AF10" s="100">
        <v>0.18</v>
      </c>
      <c r="AG10" s="98" t="s">
        <v>597</v>
      </c>
      <c r="AH10" s="98" t="s">
        <v>597</v>
      </c>
      <c r="AI10" s="100">
        <v>0.009000000000000001</v>
      </c>
      <c r="AJ10" s="100">
        <v>0.703583</v>
      </c>
      <c r="AK10" s="100" t="s">
        <v>597</v>
      </c>
      <c r="AL10" s="100">
        <v>0.765625</v>
      </c>
      <c r="AM10" s="100">
        <v>0.479508</v>
      </c>
      <c r="AN10" s="100">
        <v>0.484615</v>
      </c>
      <c r="AO10" s="98">
        <v>1498.012840110058</v>
      </c>
      <c r="AP10" s="158">
        <v>0.9994348144999999</v>
      </c>
      <c r="AQ10" s="100" t="s">
        <v>597</v>
      </c>
      <c r="AR10" s="100" t="s">
        <v>597</v>
      </c>
      <c r="AS10" s="98">
        <v>489.1470498318557</v>
      </c>
      <c r="AT10" s="98">
        <v>428.00366860287374</v>
      </c>
      <c r="AU10" s="98" t="s">
        <v>597</v>
      </c>
      <c r="AV10" s="98">
        <v>275.14521553041885</v>
      </c>
      <c r="AW10" s="98">
        <v>244.57352491592786</v>
      </c>
      <c r="AX10" s="98">
        <v>428.00366860287374</v>
      </c>
      <c r="AY10" s="98">
        <v>642.0055029043106</v>
      </c>
      <c r="AZ10" s="98">
        <v>336.2885967594008</v>
      </c>
      <c r="BA10" s="100" t="s">
        <v>597</v>
      </c>
      <c r="BB10" s="100" t="s">
        <v>597</v>
      </c>
      <c r="BC10" s="100" t="s">
        <v>597</v>
      </c>
      <c r="BD10" s="158">
        <v>0.7393873596</v>
      </c>
      <c r="BE10" s="158">
        <v>1.321305847</v>
      </c>
      <c r="BF10" s="162">
        <v>307</v>
      </c>
      <c r="BG10" s="162" t="s">
        <v>597</v>
      </c>
      <c r="BH10" s="162">
        <v>768</v>
      </c>
      <c r="BI10" s="162">
        <v>244</v>
      </c>
      <c r="BJ10" s="162">
        <v>130</v>
      </c>
      <c r="BK10" s="97"/>
      <c r="BL10" s="97"/>
      <c r="BM10" s="97"/>
      <c r="BN10" s="97"/>
    </row>
    <row r="11" spans="1:66" ht="12.75">
      <c r="A11" s="79" t="s">
        <v>586</v>
      </c>
      <c r="B11" s="79" t="s">
        <v>340</v>
      </c>
      <c r="C11" s="79" t="s">
        <v>266</v>
      </c>
      <c r="D11" s="99">
        <v>5548</v>
      </c>
      <c r="E11" s="99">
        <v>762</v>
      </c>
      <c r="F11" s="99" t="s">
        <v>366</v>
      </c>
      <c r="G11" s="99">
        <v>10</v>
      </c>
      <c r="H11" s="99">
        <v>14</v>
      </c>
      <c r="I11" s="99">
        <v>81</v>
      </c>
      <c r="J11" s="99">
        <v>393</v>
      </c>
      <c r="K11" s="99">
        <v>19</v>
      </c>
      <c r="L11" s="99">
        <v>1208</v>
      </c>
      <c r="M11" s="99">
        <v>292</v>
      </c>
      <c r="N11" s="99">
        <v>159</v>
      </c>
      <c r="O11" s="99">
        <v>37</v>
      </c>
      <c r="P11" s="159">
        <v>37</v>
      </c>
      <c r="Q11" s="99">
        <v>7</v>
      </c>
      <c r="R11" s="99">
        <v>18</v>
      </c>
      <c r="S11" s="99">
        <v>11</v>
      </c>
      <c r="T11" s="99" t="s">
        <v>597</v>
      </c>
      <c r="U11" s="99" t="s">
        <v>597</v>
      </c>
      <c r="V11" s="99">
        <v>8</v>
      </c>
      <c r="W11" s="99">
        <v>21</v>
      </c>
      <c r="X11" s="99">
        <v>15</v>
      </c>
      <c r="Y11" s="99">
        <v>48</v>
      </c>
      <c r="Z11" s="99">
        <v>35</v>
      </c>
      <c r="AA11" s="99" t="s">
        <v>597</v>
      </c>
      <c r="AB11" s="99" t="s">
        <v>597</v>
      </c>
      <c r="AC11" s="99" t="s">
        <v>597</v>
      </c>
      <c r="AD11" s="98" t="s">
        <v>345</v>
      </c>
      <c r="AE11" s="100">
        <v>0.1373467916366258</v>
      </c>
      <c r="AF11" s="100">
        <v>0.09</v>
      </c>
      <c r="AG11" s="98">
        <v>180.24513338139872</v>
      </c>
      <c r="AH11" s="98">
        <v>252.3431867339582</v>
      </c>
      <c r="AI11" s="100">
        <v>0.015</v>
      </c>
      <c r="AJ11" s="100">
        <v>0.674099</v>
      </c>
      <c r="AK11" s="100">
        <v>0.678571</v>
      </c>
      <c r="AL11" s="100">
        <v>0.822328</v>
      </c>
      <c r="AM11" s="100">
        <v>0.559387</v>
      </c>
      <c r="AN11" s="100">
        <v>0.584559</v>
      </c>
      <c r="AO11" s="98">
        <v>666.9069935111752</v>
      </c>
      <c r="AP11" s="158">
        <v>0.3835454941</v>
      </c>
      <c r="AQ11" s="100">
        <v>0.1891891891891892</v>
      </c>
      <c r="AR11" s="100">
        <v>0.3888888888888889</v>
      </c>
      <c r="AS11" s="98">
        <v>198.26964671953857</v>
      </c>
      <c r="AT11" s="98" t="s">
        <v>597</v>
      </c>
      <c r="AU11" s="98" t="s">
        <v>597</v>
      </c>
      <c r="AV11" s="98">
        <v>144.19610670511895</v>
      </c>
      <c r="AW11" s="98">
        <v>378.5147801009373</v>
      </c>
      <c r="AX11" s="98">
        <v>270.36770007209805</v>
      </c>
      <c r="AY11" s="98">
        <v>865.1766402307138</v>
      </c>
      <c r="AZ11" s="98">
        <v>630.8579668348955</v>
      </c>
      <c r="BA11" s="100" t="s">
        <v>597</v>
      </c>
      <c r="BB11" s="100" t="s">
        <v>597</v>
      </c>
      <c r="BC11" s="100" t="s">
        <v>597</v>
      </c>
      <c r="BD11" s="158">
        <v>0.2700514221</v>
      </c>
      <c r="BE11" s="158">
        <v>0.5286669159</v>
      </c>
      <c r="BF11" s="162">
        <v>583</v>
      </c>
      <c r="BG11" s="162">
        <v>28</v>
      </c>
      <c r="BH11" s="162">
        <v>1469</v>
      </c>
      <c r="BI11" s="162">
        <v>522</v>
      </c>
      <c r="BJ11" s="162">
        <v>272</v>
      </c>
      <c r="BK11" s="97"/>
      <c r="BL11" s="97"/>
      <c r="BM11" s="97"/>
      <c r="BN11" s="97"/>
    </row>
    <row r="12" spans="1:66" ht="12.75">
      <c r="A12" s="79" t="s">
        <v>589</v>
      </c>
      <c r="B12" s="79" t="s">
        <v>343</v>
      </c>
      <c r="C12" s="79" t="s">
        <v>266</v>
      </c>
      <c r="D12" s="99">
        <v>2799</v>
      </c>
      <c r="E12" s="99">
        <v>310</v>
      </c>
      <c r="F12" s="99" t="s">
        <v>367</v>
      </c>
      <c r="G12" s="99">
        <v>9</v>
      </c>
      <c r="H12" s="99">
        <v>7</v>
      </c>
      <c r="I12" s="99">
        <v>46</v>
      </c>
      <c r="J12" s="99">
        <v>210</v>
      </c>
      <c r="K12" s="99" t="s">
        <v>597</v>
      </c>
      <c r="L12" s="99">
        <v>609</v>
      </c>
      <c r="M12" s="99">
        <v>169</v>
      </c>
      <c r="N12" s="99">
        <v>95</v>
      </c>
      <c r="O12" s="99">
        <v>47</v>
      </c>
      <c r="P12" s="159">
        <v>47</v>
      </c>
      <c r="Q12" s="99" t="s">
        <v>597</v>
      </c>
      <c r="R12" s="99">
        <v>15</v>
      </c>
      <c r="S12" s="99">
        <v>11</v>
      </c>
      <c r="T12" s="99">
        <v>10</v>
      </c>
      <c r="U12" s="99" t="s">
        <v>597</v>
      </c>
      <c r="V12" s="99" t="s">
        <v>597</v>
      </c>
      <c r="W12" s="99">
        <v>24</v>
      </c>
      <c r="X12" s="99">
        <v>16</v>
      </c>
      <c r="Y12" s="99">
        <v>27</v>
      </c>
      <c r="Z12" s="99">
        <v>21</v>
      </c>
      <c r="AA12" s="99" t="s">
        <v>597</v>
      </c>
      <c r="AB12" s="99" t="s">
        <v>597</v>
      </c>
      <c r="AC12" s="99" t="s">
        <v>597</v>
      </c>
      <c r="AD12" s="98" t="s">
        <v>345</v>
      </c>
      <c r="AE12" s="100">
        <v>0.11075384065737763</v>
      </c>
      <c r="AF12" s="100">
        <v>0.08</v>
      </c>
      <c r="AG12" s="98">
        <v>321.54340836012864</v>
      </c>
      <c r="AH12" s="98">
        <v>250.08931761343337</v>
      </c>
      <c r="AI12" s="100">
        <v>0.016</v>
      </c>
      <c r="AJ12" s="100">
        <v>0.739437</v>
      </c>
      <c r="AK12" s="100" t="s">
        <v>597</v>
      </c>
      <c r="AL12" s="100">
        <v>0.798165</v>
      </c>
      <c r="AM12" s="100">
        <v>0.58885</v>
      </c>
      <c r="AN12" s="100">
        <v>0.608974</v>
      </c>
      <c r="AO12" s="98">
        <v>1679.1711325473384</v>
      </c>
      <c r="AP12" s="158">
        <v>1.0296793370000001</v>
      </c>
      <c r="AQ12" s="100" t="s">
        <v>597</v>
      </c>
      <c r="AR12" s="100" t="s">
        <v>597</v>
      </c>
      <c r="AS12" s="98">
        <v>392.99749910682385</v>
      </c>
      <c r="AT12" s="98">
        <v>357.27045373347624</v>
      </c>
      <c r="AU12" s="98" t="s">
        <v>597</v>
      </c>
      <c r="AV12" s="98" t="s">
        <v>597</v>
      </c>
      <c r="AW12" s="98">
        <v>857.449088960343</v>
      </c>
      <c r="AX12" s="98">
        <v>571.632725973562</v>
      </c>
      <c r="AY12" s="98">
        <v>964.6302250803858</v>
      </c>
      <c r="AZ12" s="98">
        <v>750.2679528403002</v>
      </c>
      <c r="BA12" s="100" t="s">
        <v>597</v>
      </c>
      <c r="BB12" s="100" t="s">
        <v>597</v>
      </c>
      <c r="BC12" s="100" t="s">
        <v>597</v>
      </c>
      <c r="BD12" s="158">
        <v>0.7565696715999999</v>
      </c>
      <c r="BE12" s="158">
        <v>1.369255219</v>
      </c>
      <c r="BF12" s="162">
        <v>284</v>
      </c>
      <c r="BG12" s="162" t="s">
        <v>597</v>
      </c>
      <c r="BH12" s="162">
        <v>763</v>
      </c>
      <c r="BI12" s="162">
        <v>287</v>
      </c>
      <c r="BJ12" s="162">
        <v>156</v>
      </c>
      <c r="BK12" s="97"/>
      <c r="BL12" s="97"/>
      <c r="BM12" s="97"/>
      <c r="BN12" s="97"/>
    </row>
    <row r="13" spans="1:66" ht="12.75">
      <c r="A13" s="79" t="s">
        <v>536</v>
      </c>
      <c r="B13" s="79" t="s">
        <v>290</v>
      </c>
      <c r="C13" s="79" t="s">
        <v>266</v>
      </c>
      <c r="D13" s="99">
        <v>6367</v>
      </c>
      <c r="E13" s="99">
        <v>1241</v>
      </c>
      <c r="F13" s="99" t="s">
        <v>367</v>
      </c>
      <c r="G13" s="99">
        <v>32</v>
      </c>
      <c r="H13" s="99">
        <v>14</v>
      </c>
      <c r="I13" s="99">
        <v>148</v>
      </c>
      <c r="J13" s="99">
        <v>697</v>
      </c>
      <c r="K13" s="99">
        <v>6</v>
      </c>
      <c r="L13" s="99">
        <v>1359</v>
      </c>
      <c r="M13" s="99">
        <v>535</v>
      </c>
      <c r="N13" s="99">
        <v>261</v>
      </c>
      <c r="O13" s="99">
        <v>115</v>
      </c>
      <c r="P13" s="159">
        <v>115</v>
      </c>
      <c r="Q13" s="99">
        <v>20</v>
      </c>
      <c r="R13" s="99">
        <v>39</v>
      </c>
      <c r="S13" s="99">
        <v>21</v>
      </c>
      <c r="T13" s="99">
        <v>25</v>
      </c>
      <c r="U13" s="99">
        <v>7</v>
      </c>
      <c r="V13" s="99">
        <v>26</v>
      </c>
      <c r="W13" s="99">
        <v>64</v>
      </c>
      <c r="X13" s="99">
        <v>17</v>
      </c>
      <c r="Y13" s="99">
        <v>81</v>
      </c>
      <c r="Z13" s="99">
        <v>34</v>
      </c>
      <c r="AA13" s="99" t="s">
        <v>597</v>
      </c>
      <c r="AB13" s="99" t="s">
        <v>597</v>
      </c>
      <c r="AC13" s="99" t="s">
        <v>597</v>
      </c>
      <c r="AD13" s="98" t="s">
        <v>345</v>
      </c>
      <c r="AE13" s="100">
        <v>0.19491126119051358</v>
      </c>
      <c r="AF13" s="100">
        <v>0.08</v>
      </c>
      <c r="AG13" s="98">
        <v>502.5914873566829</v>
      </c>
      <c r="AH13" s="98">
        <v>219.88377571854878</v>
      </c>
      <c r="AI13" s="100">
        <v>0.023</v>
      </c>
      <c r="AJ13" s="100">
        <v>0.691468</v>
      </c>
      <c r="AK13" s="100">
        <v>0.428571</v>
      </c>
      <c r="AL13" s="100">
        <v>0.802243</v>
      </c>
      <c r="AM13" s="100">
        <v>0.579004</v>
      </c>
      <c r="AN13" s="100">
        <v>0.582589</v>
      </c>
      <c r="AO13" s="98">
        <v>1806.1881576880792</v>
      </c>
      <c r="AP13" s="158">
        <v>0.8465578461</v>
      </c>
      <c r="AQ13" s="100">
        <v>0.17391304347826086</v>
      </c>
      <c r="AR13" s="100">
        <v>0.5128205128205128</v>
      </c>
      <c r="AS13" s="98">
        <v>329.82566357782315</v>
      </c>
      <c r="AT13" s="98">
        <v>392.64959949740853</v>
      </c>
      <c r="AU13" s="98">
        <v>109.94188785927439</v>
      </c>
      <c r="AV13" s="98">
        <v>408.35558347730483</v>
      </c>
      <c r="AW13" s="98">
        <v>1005.1829747133658</v>
      </c>
      <c r="AX13" s="98">
        <v>267.00172765823777</v>
      </c>
      <c r="AY13" s="98">
        <v>1272.1847023716036</v>
      </c>
      <c r="AZ13" s="98">
        <v>534.0034553164755</v>
      </c>
      <c r="BA13" s="100" t="s">
        <v>597</v>
      </c>
      <c r="BB13" s="100" t="s">
        <v>597</v>
      </c>
      <c r="BC13" s="100" t="s">
        <v>597</v>
      </c>
      <c r="BD13" s="158">
        <v>0.6989202881</v>
      </c>
      <c r="BE13" s="158">
        <v>1.016164474</v>
      </c>
      <c r="BF13" s="162">
        <v>1008</v>
      </c>
      <c r="BG13" s="162">
        <v>14</v>
      </c>
      <c r="BH13" s="162">
        <v>1694</v>
      </c>
      <c r="BI13" s="162">
        <v>924</v>
      </c>
      <c r="BJ13" s="162">
        <v>448</v>
      </c>
      <c r="BK13" s="97"/>
      <c r="BL13" s="97"/>
      <c r="BM13" s="97"/>
      <c r="BN13" s="97"/>
    </row>
    <row r="14" spans="1:66" ht="12.75">
      <c r="A14" s="79" t="s">
        <v>547</v>
      </c>
      <c r="B14" s="79" t="s">
        <v>301</v>
      </c>
      <c r="C14" s="79" t="s">
        <v>266</v>
      </c>
      <c r="D14" s="99">
        <v>10073</v>
      </c>
      <c r="E14" s="99">
        <v>1594</v>
      </c>
      <c r="F14" s="99" t="s">
        <v>366</v>
      </c>
      <c r="G14" s="99">
        <v>33</v>
      </c>
      <c r="H14" s="99">
        <v>22</v>
      </c>
      <c r="I14" s="99">
        <v>180</v>
      </c>
      <c r="J14" s="99">
        <v>934</v>
      </c>
      <c r="K14" s="99">
        <v>9</v>
      </c>
      <c r="L14" s="99">
        <v>2037</v>
      </c>
      <c r="M14" s="99">
        <v>702</v>
      </c>
      <c r="N14" s="99">
        <v>385</v>
      </c>
      <c r="O14" s="99">
        <v>105</v>
      </c>
      <c r="P14" s="159">
        <v>105</v>
      </c>
      <c r="Q14" s="99">
        <v>16</v>
      </c>
      <c r="R14" s="99">
        <v>45</v>
      </c>
      <c r="S14" s="99">
        <v>18</v>
      </c>
      <c r="T14" s="99">
        <v>14</v>
      </c>
      <c r="U14" s="99" t="s">
        <v>597</v>
      </c>
      <c r="V14" s="99">
        <v>25</v>
      </c>
      <c r="W14" s="99">
        <v>66</v>
      </c>
      <c r="X14" s="99">
        <v>17</v>
      </c>
      <c r="Y14" s="99">
        <v>156</v>
      </c>
      <c r="Z14" s="99">
        <v>39</v>
      </c>
      <c r="AA14" s="99" t="s">
        <v>597</v>
      </c>
      <c r="AB14" s="99" t="s">
        <v>597</v>
      </c>
      <c r="AC14" s="99" t="s">
        <v>597</v>
      </c>
      <c r="AD14" s="98" t="s">
        <v>345</v>
      </c>
      <c r="AE14" s="100">
        <v>0.15824481286607764</v>
      </c>
      <c r="AF14" s="100">
        <v>0.11</v>
      </c>
      <c r="AG14" s="98">
        <v>327.6084582547404</v>
      </c>
      <c r="AH14" s="98">
        <v>218.4056388364936</v>
      </c>
      <c r="AI14" s="100">
        <v>0.018000000000000002</v>
      </c>
      <c r="AJ14" s="100">
        <v>0.713522</v>
      </c>
      <c r="AK14" s="100">
        <v>0.5</v>
      </c>
      <c r="AL14" s="100">
        <v>0.780759</v>
      </c>
      <c r="AM14" s="100">
        <v>0.612565</v>
      </c>
      <c r="AN14" s="100">
        <v>0.632184</v>
      </c>
      <c r="AO14" s="98">
        <v>1042.390548992356</v>
      </c>
      <c r="AP14" s="158">
        <v>0.5563615417</v>
      </c>
      <c r="AQ14" s="100">
        <v>0.1523809523809524</v>
      </c>
      <c r="AR14" s="100">
        <v>0.35555555555555557</v>
      </c>
      <c r="AS14" s="98">
        <v>178.69552268440384</v>
      </c>
      <c r="AT14" s="98">
        <v>138.9854065323141</v>
      </c>
      <c r="AU14" s="98" t="s">
        <v>597</v>
      </c>
      <c r="AV14" s="98">
        <v>248.1882259505609</v>
      </c>
      <c r="AW14" s="98">
        <v>655.2169165094808</v>
      </c>
      <c r="AX14" s="98">
        <v>168.76799364638143</v>
      </c>
      <c r="AY14" s="98">
        <v>1548.6945299315</v>
      </c>
      <c r="AZ14" s="98">
        <v>387.173632482875</v>
      </c>
      <c r="BA14" s="100" t="s">
        <v>597</v>
      </c>
      <c r="BB14" s="100" t="s">
        <v>597</v>
      </c>
      <c r="BC14" s="100" t="s">
        <v>597</v>
      </c>
      <c r="BD14" s="158">
        <v>0.45504863739999996</v>
      </c>
      <c r="BE14" s="158">
        <v>0.6735095978</v>
      </c>
      <c r="BF14" s="162">
        <v>1309</v>
      </c>
      <c r="BG14" s="162">
        <v>18</v>
      </c>
      <c r="BH14" s="162">
        <v>2609</v>
      </c>
      <c r="BI14" s="162">
        <v>1146</v>
      </c>
      <c r="BJ14" s="162">
        <v>609</v>
      </c>
      <c r="BK14" s="97"/>
      <c r="BL14" s="97"/>
      <c r="BM14" s="97"/>
      <c r="BN14" s="97"/>
    </row>
    <row r="15" spans="1:66" ht="12.75">
      <c r="A15" s="79" t="s">
        <v>549</v>
      </c>
      <c r="B15" s="79" t="s">
        <v>303</v>
      </c>
      <c r="C15" s="79" t="s">
        <v>266</v>
      </c>
      <c r="D15" s="99">
        <v>14286</v>
      </c>
      <c r="E15" s="99">
        <v>3264</v>
      </c>
      <c r="F15" s="99" t="s">
        <v>367</v>
      </c>
      <c r="G15" s="99">
        <v>85</v>
      </c>
      <c r="H15" s="99">
        <v>40</v>
      </c>
      <c r="I15" s="99">
        <v>318</v>
      </c>
      <c r="J15" s="99">
        <v>1586</v>
      </c>
      <c r="K15" s="99">
        <v>20</v>
      </c>
      <c r="L15" s="99">
        <v>2672</v>
      </c>
      <c r="M15" s="99">
        <v>1192</v>
      </c>
      <c r="N15" s="99">
        <v>644</v>
      </c>
      <c r="O15" s="99">
        <v>184</v>
      </c>
      <c r="P15" s="159">
        <v>184</v>
      </c>
      <c r="Q15" s="99">
        <v>22</v>
      </c>
      <c r="R15" s="99">
        <v>61</v>
      </c>
      <c r="S15" s="99">
        <v>40</v>
      </c>
      <c r="T15" s="99">
        <v>34</v>
      </c>
      <c r="U15" s="99" t="s">
        <v>597</v>
      </c>
      <c r="V15" s="99">
        <v>42</v>
      </c>
      <c r="W15" s="99">
        <v>96</v>
      </c>
      <c r="X15" s="99">
        <v>28</v>
      </c>
      <c r="Y15" s="99">
        <v>182</v>
      </c>
      <c r="Z15" s="99">
        <v>79</v>
      </c>
      <c r="AA15" s="99" t="s">
        <v>597</v>
      </c>
      <c r="AB15" s="99" t="s">
        <v>597</v>
      </c>
      <c r="AC15" s="99" t="s">
        <v>597</v>
      </c>
      <c r="AD15" s="98" t="s">
        <v>345</v>
      </c>
      <c r="AE15" s="100">
        <v>0.22847543049139019</v>
      </c>
      <c r="AF15" s="100">
        <v>0.08</v>
      </c>
      <c r="AG15" s="98">
        <v>594.9881002379952</v>
      </c>
      <c r="AH15" s="98">
        <v>279.9944001119978</v>
      </c>
      <c r="AI15" s="100">
        <v>0.022000000000000002</v>
      </c>
      <c r="AJ15" s="100">
        <v>0.7625</v>
      </c>
      <c r="AK15" s="100">
        <v>0.454545</v>
      </c>
      <c r="AL15" s="100">
        <v>0.799761</v>
      </c>
      <c r="AM15" s="100">
        <v>0.609096</v>
      </c>
      <c r="AN15" s="100">
        <v>0.638256</v>
      </c>
      <c r="AO15" s="98">
        <v>1287.9742405151896</v>
      </c>
      <c r="AP15" s="158">
        <v>0.5901048279</v>
      </c>
      <c r="AQ15" s="100">
        <v>0.11956521739130435</v>
      </c>
      <c r="AR15" s="100">
        <v>0.36065573770491804</v>
      </c>
      <c r="AS15" s="98">
        <v>279.9944001119978</v>
      </c>
      <c r="AT15" s="98">
        <v>237.99524009519808</v>
      </c>
      <c r="AU15" s="98" t="s">
        <v>597</v>
      </c>
      <c r="AV15" s="98">
        <v>293.9941201175977</v>
      </c>
      <c r="AW15" s="98">
        <v>671.9865602687946</v>
      </c>
      <c r="AX15" s="98">
        <v>195.99608007839842</v>
      </c>
      <c r="AY15" s="98">
        <v>1273.9745205095899</v>
      </c>
      <c r="AZ15" s="98">
        <v>552.9889402211955</v>
      </c>
      <c r="BA15" s="100" t="s">
        <v>597</v>
      </c>
      <c r="BB15" s="100" t="s">
        <v>597</v>
      </c>
      <c r="BC15" s="100" t="s">
        <v>597</v>
      </c>
      <c r="BD15" s="158">
        <v>0.5079173279</v>
      </c>
      <c r="BE15" s="158">
        <v>0.6818037415</v>
      </c>
      <c r="BF15" s="162">
        <v>2080</v>
      </c>
      <c r="BG15" s="162">
        <v>44</v>
      </c>
      <c r="BH15" s="162">
        <v>3341</v>
      </c>
      <c r="BI15" s="162">
        <v>1957</v>
      </c>
      <c r="BJ15" s="162">
        <v>1009</v>
      </c>
      <c r="BK15" s="97"/>
      <c r="BL15" s="97"/>
      <c r="BM15" s="97"/>
      <c r="BN15" s="97"/>
    </row>
    <row r="16" spans="1:66" ht="12.75">
      <c r="A16" s="79" t="s">
        <v>571</v>
      </c>
      <c r="B16" s="79" t="s">
        <v>325</v>
      </c>
      <c r="C16" s="79" t="s">
        <v>266</v>
      </c>
      <c r="D16" s="99">
        <v>3052</v>
      </c>
      <c r="E16" s="99">
        <v>512</v>
      </c>
      <c r="F16" s="99" t="s">
        <v>367</v>
      </c>
      <c r="G16" s="99">
        <v>19</v>
      </c>
      <c r="H16" s="99">
        <v>6</v>
      </c>
      <c r="I16" s="99">
        <v>50</v>
      </c>
      <c r="J16" s="99">
        <v>337</v>
      </c>
      <c r="K16" s="99" t="s">
        <v>597</v>
      </c>
      <c r="L16" s="99">
        <v>655</v>
      </c>
      <c r="M16" s="99">
        <v>224</v>
      </c>
      <c r="N16" s="99">
        <v>117</v>
      </c>
      <c r="O16" s="99">
        <v>77</v>
      </c>
      <c r="P16" s="159">
        <v>77</v>
      </c>
      <c r="Q16" s="99">
        <v>11</v>
      </c>
      <c r="R16" s="99">
        <v>16</v>
      </c>
      <c r="S16" s="99">
        <v>13</v>
      </c>
      <c r="T16" s="99" t="s">
        <v>597</v>
      </c>
      <c r="U16" s="99" t="s">
        <v>597</v>
      </c>
      <c r="V16" s="99">
        <v>14</v>
      </c>
      <c r="W16" s="99">
        <v>17</v>
      </c>
      <c r="X16" s="99" t="s">
        <v>597</v>
      </c>
      <c r="Y16" s="99">
        <v>33</v>
      </c>
      <c r="Z16" s="99">
        <v>19</v>
      </c>
      <c r="AA16" s="99" t="s">
        <v>597</v>
      </c>
      <c r="AB16" s="99" t="s">
        <v>597</v>
      </c>
      <c r="AC16" s="99" t="s">
        <v>597</v>
      </c>
      <c r="AD16" s="98" t="s">
        <v>345</v>
      </c>
      <c r="AE16" s="100">
        <v>0.16775884665792923</v>
      </c>
      <c r="AF16" s="100">
        <v>0.06</v>
      </c>
      <c r="AG16" s="98">
        <v>622.5425950196592</v>
      </c>
      <c r="AH16" s="98">
        <v>196.5923984272608</v>
      </c>
      <c r="AI16" s="100">
        <v>0.016</v>
      </c>
      <c r="AJ16" s="100">
        <v>0.802381</v>
      </c>
      <c r="AK16" s="100" t="s">
        <v>597</v>
      </c>
      <c r="AL16" s="100">
        <v>0.848446</v>
      </c>
      <c r="AM16" s="100">
        <v>0.607046</v>
      </c>
      <c r="AN16" s="100">
        <v>0.668571</v>
      </c>
      <c r="AO16" s="98">
        <v>2522.935779816514</v>
      </c>
      <c r="AP16" s="158">
        <v>1.2764191440000001</v>
      </c>
      <c r="AQ16" s="100">
        <v>0.14285714285714285</v>
      </c>
      <c r="AR16" s="100">
        <v>0.6875</v>
      </c>
      <c r="AS16" s="98">
        <v>425.9501965923984</v>
      </c>
      <c r="AT16" s="98" t="s">
        <v>597</v>
      </c>
      <c r="AU16" s="98" t="s">
        <v>597</v>
      </c>
      <c r="AV16" s="98">
        <v>458.7155963302752</v>
      </c>
      <c r="AW16" s="98">
        <v>557.0117955439057</v>
      </c>
      <c r="AX16" s="98" t="s">
        <v>597</v>
      </c>
      <c r="AY16" s="98">
        <v>1081.2581913499346</v>
      </c>
      <c r="AZ16" s="98">
        <v>622.5425950196592</v>
      </c>
      <c r="BA16" s="100" t="s">
        <v>597</v>
      </c>
      <c r="BB16" s="100" t="s">
        <v>597</v>
      </c>
      <c r="BC16" s="100" t="s">
        <v>597</v>
      </c>
      <c r="BD16" s="158">
        <v>1.0073300170000001</v>
      </c>
      <c r="BE16" s="158">
        <v>1.5953050229999999</v>
      </c>
      <c r="BF16" s="162">
        <v>420</v>
      </c>
      <c r="BG16" s="162" t="s">
        <v>597</v>
      </c>
      <c r="BH16" s="162">
        <v>772</v>
      </c>
      <c r="BI16" s="162">
        <v>369</v>
      </c>
      <c r="BJ16" s="162">
        <v>175</v>
      </c>
      <c r="BK16" s="97"/>
      <c r="BL16" s="97"/>
      <c r="BM16" s="97"/>
      <c r="BN16" s="97"/>
    </row>
    <row r="17" spans="1:66" ht="12.75">
      <c r="A17" s="79" t="s">
        <v>537</v>
      </c>
      <c r="B17" s="79" t="s">
        <v>291</v>
      </c>
      <c r="C17" s="79" t="s">
        <v>266</v>
      </c>
      <c r="D17" s="99">
        <v>10352</v>
      </c>
      <c r="E17" s="99">
        <v>1377</v>
      </c>
      <c r="F17" s="99" t="s">
        <v>366</v>
      </c>
      <c r="G17" s="99">
        <v>41</v>
      </c>
      <c r="H17" s="99">
        <v>9</v>
      </c>
      <c r="I17" s="99">
        <v>164</v>
      </c>
      <c r="J17" s="99">
        <v>864</v>
      </c>
      <c r="K17" s="99">
        <v>6</v>
      </c>
      <c r="L17" s="99">
        <v>2062</v>
      </c>
      <c r="M17" s="99">
        <v>572</v>
      </c>
      <c r="N17" s="99">
        <v>304</v>
      </c>
      <c r="O17" s="99">
        <v>146</v>
      </c>
      <c r="P17" s="159">
        <v>146</v>
      </c>
      <c r="Q17" s="99">
        <v>13</v>
      </c>
      <c r="R17" s="99">
        <v>37</v>
      </c>
      <c r="S17" s="99">
        <v>48</v>
      </c>
      <c r="T17" s="99">
        <v>24</v>
      </c>
      <c r="U17" s="99" t="s">
        <v>597</v>
      </c>
      <c r="V17" s="99">
        <v>21</v>
      </c>
      <c r="W17" s="99">
        <v>44</v>
      </c>
      <c r="X17" s="99">
        <v>53</v>
      </c>
      <c r="Y17" s="99">
        <v>108</v>
      </c>
      <c r="Z17" s="99">
        <v>43</v>
      </c>
      <c r="AA17" s="99" t="s">
        <v>597</v>
      </c>
      <c r="AB17" s="99" t="s">
        <v>597</v>
      </c>
      <c r="AC17" s="99" t="s">
        <v>597</v>
      </c>
      <c r="AD17" s="98" t="s">
        <v>345</v>
      </c>
      <c r="AE17" s="100">
        <v>0.1330177743431221</v>
      </c>
      <c r="AF17" s="100">
        <v>0.09</v>
      </c>
      <c r="AG17" s="98">
        <v>396.0587326120556</v>
      </c>
      <c r="AH17" s="98">
        <v>86.93972179289027</v>
      </c>
      <c r="AI17" s="100">
        <v>0.016</v>
      </c>
      <c r="AJ17" s="100">
        <v>0.709942</v>
      </c>
      <c r="AK17" s="100">
        <v>0.5</v>
      </c>
      <c r="AL17" s="100">
        <v>0.74575</v>
      </c>
      <c r="AM17" s="100">
        <v>0.550529</v>
      </c>
      <c r="AN17" s="100">
        <v>0.572505</v>
      </c>
      <c r="AO17" s="98">
        <v>1410.3554868624421</v>
      </c>
      <c r="AP17" s="158">
        <v>0.8105619049</v>
      </c>
      <c r="AQ17" s="100">
        <v>0.08904109589041095</v>
      </c>
      <c r="AR17" s="100">
        <v>0.35135135135135137</v>
      </c>
      <c r="AS17" s="98">
        <v>463.6785162287481</v>
      </c>
      <c r="AT17" s="98">
        <v>231.83925811437405</v>
      </c>
      <c r="AU17" s="98" t="s">
        <v>597</v>
      </c>
      <c r="AV17" s="98">
        <v>202.85935085007728</v>
      </c>
      <c r="AW17" s="98">
        <v>425.0386398763524</v>
      </c>
      <c r="AX17" s="98">
        <v>511.97836166924264</v>
      </c>
      <c r="AY17" s="98">
        <v>1043.2766615146832</v>
      </c>
      <c r="AZ17" s="98">
        <v>415.3786707882535</v>
      </c>
      <c r="BA17" s="100" t="s">
        <v>597</v>
      </c>
      <c r="BB17" s="100" t="s">
        <v>597</v>
      </c>
      <c r="BC17" s="100" t="s">
        <v>597</v>
      </c>
      <c r="BD17" s="158">
        <v>0.6844171906</v>
      </c>
      <c r="BE17" s="158">
        <v>0.9532198334</v>
      </c>
      <c r="BF17" s="162">
        <v>1217</v>
      </c>
      <c r="BG17" s="162">
        <v>12</v>
      </c>
      <c r="BH17" s="162">
        <v>2765</v>
      </c>
      <c r="BI17" s="162">
        <v>1039</v>
      </c>
      <c r="BJ17" s="162">
        <v>531</v>
      </c>
      <c r="BK17" s="97"/>
      <c r="BL17" s="97"/>
      <c r="BM17" s="97"/>
      <c r="BN17" s="97"/>
    </row>
    <row r="18" spans="1:66" ht="12.75">
      <c r="A18" s="79" t="s">
        <v>564</v>
      </c>
      <c r="B18" s="79" t="s">
        <v>318</v>
      </c>
      <c r="C18" s="79" t="s">
        <v>266</v>
      </c>
      <c r="D18" s="99">
        <v>5955</v>
      </c>
      <c r="E18" s="99">
        <v>1020</v>
      </c>
      <c r="F18" s="99" t="s">
        <v>366</v>
      </c>
      <c r="G18" s="99">
        <v>20</v>
      </c>
      <c r="H18" s="99">
        <v>14</v>
      </c>
      <c r="I18" s="99">
        <v>84</v>
      </c>
      <c r="J18" s="99">
        <v>427</v>
      </c>
      <c r="K18" s="99">
        <v>412</v>
      </c>
      <c r="L18" s="99">
        <v>1113</v>
      </c>
      <c r="M18" s="99">
        <v>338</v>
      </c>
      <c r="N18" s="99">
        <v>170</v>
      </c>
      <c r="O18" s="99">
        <v>140</v>
      </c>
      <c r="P18" s="159">
        <v>140</v>
      </c>
      <c r="Q18" s="99">
        <v>16</v>
      </c>
      <c r="R18" s="99">
        <v>27</v>
      </c>
      <c r="S18" s="99">
        <v>26</v>
      </c>
      <c r="T18" s="99">
        <v>27</v>
      </c>
      <c r="U18" s="99" t="s">
        <v>597</v>
      </c>
      <c r="V18" s="99">
        <v>27</v>
      </c>
      <c r="W18" s="99">
        <v>25</v>
      </c>
      <c r="X18" s="99">
        <v>24</v>
      </c>
      <c r="Y18" s="99">
        <v>73</v>
      </c>
      <c r="Z18" s="99">
        <v>53</v>
      </c>
      <c r="AA18" s="99" t="s">
        <v>597</v>
      </c>
      <c r="AB18" s="99" t="s">
        <v>597</v>
      </c>
      <c r="AC18" s="99" t="s">
        <v>597</v>
      </c>
      <c r="AD18" s="98" t="s">
        <v>345</v>
      </c>
      <c r="AE18" s="100">
        <v>0.1712846347607053</v>
      </c>
      <c r="AF18" s="100">
        <v>0.09</v>
      </c>
      <c r="AG18" s="98">
        <v>335.8522250209908</v>
      </c>
      <c r="AH18" s="98">
        <v>235.09655751469353</v>
      </c>
      <c r="AI18" s="100">
        <v>0.013999999999999999</v>
      </c>
      <c r="AJ18" s="100">
        <v>0.578591</v>
      </c>
      <c r="AK18" s="100">
        <v>0.764378</v>
      </c>
      <c r="AL18" s="100">
        <v>0.724138</v>
      </c>
      <c r="AM18" s="100">
        <v>0.531447</v>
      </c>
      <c r="AN18" s="100">
        <v>0.551948</v>
      </c>
      <c r="AO18" s="98">
        <v>2350.9655751469354</v>
      </c>
      <c r="AP18" s="158">
        <v>1.234550934</v>
      </c>
      <c r="AQ18" s="100">
        <v>0.11428571428571428</v>
      </c>
      <c r="AR18" s="100">
        <v>0.5925925925925926</v>
      </c>
      <c r="AS18" s="98">
        <v>436.607892527288</v>
      </c>
      <c r="AT18" s="98">
        <v>453.4005037783375</v>
      </c>
      <c r="AU18" s="98" t="s">
        <v>597</v>
      </c>
      <c r="AV18" s="98">
        <v>453.4005037783375</v>
      </c>
      <c r="AW18" s="98">
        <v>419.81528127623847</v>
      </c>
      <c r="AX18" s="98">
        <v>403.0226700251889</v>
      </c>
      <c r="AY18" s="98">
        <v>1225.8606213266162</v>
      </c>
      <c r="AZ18" s="98">
        <v>890.0083963056255</v>
      </c>
      <c r="BA18" s="100" t="s">
        <v>597</v>
      </c>
      <c r="BB18" s="100" t="s">
        <v>597</v>
      </c>
      <c r="BC18" s="100" t="s">
        <v>597</v>
      </c>
      <c r="BD18" s="158">
        <v>1.038526917</v>
      </c>
      <c r="BE18" s="158">
        <v>1.456818542</v>
      </c>
      <c r="BF18" s="162">
        <v>738</v>
      </c>
      <c r="BG18" s="162">
        <v>539</v>
      </c>
      <c r="BH18" s="162">
        <v>1537</v>
      </c>
      <c r="BI18" s="162">
        <v>636</v>
      </c>
      <c r="BJ18" s="162">
        <v>308</v>
      </c>
      <c r="BK18" s="97"/>
      <c r="BL18" s="97"/>
      <c r="BM18" s="97"/>
      <c r="BN18" s="97"/>
    </row>
    <row r="19" spans="1:66" ht="12.75">
      <c r="A19" s="79" t="s">
        <v>577</v>
      </c>
      <c r="B19" s="79" t="s">
        <v>331</v>
      </c>
      <c r="C19" s="79" t="s">
        <v>266</v>
      </c>
      <c r="D19" s="99">
        <v>2581</v>
      </c>
      <c r="E19" s="99">
        <v>588</v>
      </c>
      <c r="F19" s="99" t="s">
        <v>367</v>
      </c>
      <c r="G19" s="99">
        <v>16</v>
      </c>
      <c r="H19" s="99">
        <v>14</v>
      </c>
      <c r="I19" s="99">
        <v>48</v>
      </c>
      <c r="J19" s="99">
        <v>292</v>
      </c>
      <c r="K19" s="99" t="s">
        <v>597</v>
      </c>
      <c r="L19" s="99">
        <v>540</v>
      </c>
      <c r="M19" s="99">
        <v>225</v>
      </c>
      <c r="N19" s="99">
        <v>113</v>
      </c>
      <c r="O19" s="99">
        <v>20</v>
      </c>
      <c r="P19" s="159">
        <v>20</v>
      </c>
      <c r="Q19" s="99" t="s">
        <v>597</v>
      </c>
      <c r="R19" s="99">
        <v>9</v>
      </c>
      <c r="S19" s="99" t="s">
        <v>597</v>
      </c>
      <c r="T19" s="99" t="s">
        <v>597</v>
      </c>
      <c r="U19" s="99" t="s">
        <v>597</v>
      </c>
      <c r="V19" s="99">
        <v>6</v>
      </c>
      <c r="W19" s="99">
        <v>10</v>
      </c>
      <c r="X19" s="99">
        <v>10</v>
      </c>
      <c r="Y19" s="99">
        <v>13</v>
      </c>
      <c r="Z19" s="99">
        <v>13</v>
      </c>
      <c r="AA19" s="99" t="s">
        <v>597</v>
      </c>
      <c r="AB19" s="99" t="s">
        <v>597</v>
      </c>
      <c r="AC19" s="99" t="s">
        <v>597</v>
      </c>
      <c r="AD19" s="98" t="s">
        <v>345</v>
      </c>
      <c r="AE19" s="100">
        <v>0.22781867493219682</v>
      </c>
      <c r="AF19" s="100">
        <v>0.07</v>
      </c>
      <c r="AG19" s="98">
        <v>619.9147617202634</v>
      </c>
      <c r="AH19" s="98">
        <v>542.4254165052305</v>
      </c>
      <c r="AI19" s="100">
        <v>0.019</v>
      </c>
      <c r="AJ19" s="100">
        <v>0.770449</v>
      </c>
      <c r="AK19" s="100" t="s">
        <v>597</v>
      </c>
      <c r="AL19" s="100">
        <v>0.855784</v>
      </c>
      <c r="AM19" s="100">
        <v>0.592105</v>
      </c>
      <c r="AN19" s="100">
        <v>0.588542</v>
      </c>
      <c r="AO19" s="98">
        <v>774.8934521503294</v>
      </c>
      <c r="AP19" s="158">
        <v>0.3461058044</v>
      </c>
      <c r="AQ19" s="100" t="s">
        <v>597</v>
      </c>
      <c r="AR19" s="100" t="s">
        <v>597</v>
      </c>
      <c r="AS19" s="98" t="s">
        <v>597</v>
      </c>
      <c r="AT19" s="98" t="s">
        <v>597</v>
      </c>
      <c r="AU19" s="98" t="s">
        <v>597</v>
      </c>
      <c r="AV19" s="98">
        <v>232.4680356450988</v>
      </c>
      <c r="AW19" s="98">
        <v>387.4467260751647</v>
      </c>
      <c r="AX19" s="98">
        <v>387.4467260751647</v>
      </c>
      <c r="AY19" s="98">
        <v>503.6807438977141</v>
      </c>
      <c r="AZ19" s="98">
        <v>503.6807438977141</v>
      </c>
      <c r="BA19" s="100" t="s">
        <v>597</v>
      </c>
      <c r="BB19" s="100" t="s">
        <v>597</v>
      </c>
      <c r="BC19" s="100" t="s">
        <v>597</v>
      </c>
      <c r="BD19" s="158">
        <v>0.21141042710000002</v>
      </c>
      <c r="BE19" s="158">
        <v>0.5345323563000001</v>
      </c>
      <c r="BF19" s="162">
        <v>379</v>
      </c>
      <c r="BG19" s="162" t="s">
        <v>597</v>
      </c>
      <c r="BH19" s="162">
        <v>631</v>
      </c>
      <c r="BI19" s="162">
        <v>380</v>
      </c>
      <c r="BJ19" s="162">
        <v>192</v>
      </c>
      <c r="BK19" s="97"/>
      <c r="BL19" s="97"/>
      <c r="BM19" s="97"/>
      <c r="BN19" s="97"/>
    </row>
    <row r="20" spans="1:66" ht="12.75">
      <c r="A20" s="79" t="s">
        <v>574</v>
      </c>
      <c r="B20" s="79" t="s">
        <v>328</v>
      </c>
      <c r="C20" s="79" t="s">
        <v>266</v>
      </c>
      <c r="D20" s="99">
        <v>2438</v>
      </c>
      <c r="E20" s="99">
        <v>466</v>
      </c>
      <c r="F20" s="99" t="s">
        <v>367</v>
      </c>
      <c r="G20" s="99">
        <v>8</v>
      </c>
      <c r="H20" s="99" t="s">
        <v>597</v>
      </c>
      <c r="I20" s="99">
        <v>26</v>
      </c>
      <c r="J20" s="99">
        <v>333</v>
      </c>
      <c r="K20" s="99">
        <v>305</v>
      </c>
      <c r="L20" s="99">
        <v>518</v>
      </c>
      <c r="M20" s="99">
        <v>265</v>
      </c>
      <c r="N20" s="99">
        <v>150</v>
      </c>
      <c r="O20" s="99">
        <v>46</v>
      </c>
      <c r="P20" s="159">
        <v>46</v>
      </c>
      <c r="Q20" s="99" t="s">
        <v>597</v>
      </c>
      <c r="R20" s="99">
        <v>11</v>
      </c>
      <c r="S20" s="99">
        <v>7</v>
      </c>
      <c r="T20" s="99" t="s">
        <v>597</v>
      </c>
      <c r="U20" s="99" t="s">
        <v>597</v>
      </c>
      <c r="V20" s="99" t="s">
        <v>597</v>
      </c>
      <c r="W20" s="99">
        <v>12</v>
      </c>
      <c r="X20" s="99" t="s">
        <v>597</v>
      </c>
      <c r="Y20" s="99">
        <v>26</v>
      </c>
      <c r="Z20" s="99">
        <v>12</v>
      </c>
      <c r="AA20" s="99" t="s">
        <v>597</v>
      </c>
      <c r="AB20" s="99" t="s">
        <v>597</v>
      </c>
      <c r="AC20" s="99" t="s">
        <v>597</v>
      </c>
      <c r="AD20" s="98" t="s">
        <v>345</v>
      </c>
      <c r="AE20" s="100">
        <v>0.1911402789171452</v>
      </c>
      <c r="AF20" s="100">
        <v>0.08</v>
      </c>
      <c r="AG20" s="98">
        <v>328.13781788351105</v>
      </c>
      <c r="AH20" s="98" t="s">
        <v>597</v>
      </c>
      <c r="AI20" s="100">
        <v>0.011000000000000001</v>
      </c>
      <c r="AJ20" s="100">
        <v>0.798561</v>
      </c>
      <c r="AK20" s="100">
        <v>0.794271</v>
      </c>
      <c r="AL20" s="100">
        <v>0.845024</v>
      </c>
      <c r="AM20" s="100">
        <v>0.614849</v>
      </c>
      <c r="AN20" s="100">
        <v>0.652174</v>
      </c>
      <c r="AO20" s="98">
        <v>1886.7924528301887</v>
      </c>
      <c r="AP20" s="158">
        <v>0.8849599456999999</v>
      </c>
      <c r="AQ20" s="100" t="s">
        <v>597</v>
      </c>
      <c r="AR20" s="100" t="s">
        <v>597</v>
      </c>
      <c r="AS20" s="98">
        <v>287.1205906480722</v>
      </c>
      <c r="AT20" s="98" t="s">
        <v>597</v>
      </c>
      <c r="AU20" s="98" t="s">
        <v>597</v>
      </c>
      <c r="AV20" s="98" t="s">
        <v>597</v>
      </c>
      <c r="AW20" s="98">
        <v>492.2067268252666</v>
      </c>
      <c r="AX20" s="98" t="s">
        <v>597</v>
      </c>
      <c r="AY20" s="98">
        <v>1066.447908121411</v>
      </c>
      <c r="AZ20" s="98">
        <v>492.2067268252666</v>
      </c>
      <c r="BA20" s="100" t="s">
        <v>597</v>
      </c>
      <c r="BB20" s="100" t="s">
        <v>597</v>
      </c>
      <c r="BC20" s="100" t="s">
        <v>597</v>
      </c>
      <c r="BD20" s="158">
        <v>0.6479019165</v>
      </c>
      <c r="BE20" s="158">
        <v>1.180412598</v>
      </c>
      <c r="BF20" s="162">
        <v>417</v>
      </c>
      <c r="BG20" s="162">
        <v>384</v>
      </c>
      <c r="BH20" s="162">
        <v>613</v>
      </c>
      <c r="BI20" s="162">
        <v>431</v>
      </c>
      <c r="BJ20" s="162">
        <v>230</v>
      </c>
      <c r="BK20" s="97"/>
      <c r="BL20" s="97"/>
      <c r="BM20" s="97"/>
      <c r="BN20" s="97"/>
    </row>
    <row r="21" spans="1:66" ht="12.75">
      <c r="A21" s="79" t="s">
        <v>585</v>
      </c>
      <c r="B21" s="79" t="s">
        <v>339</v>
      </c>
      <c r="C21" s="79" t="s">
        <v>266</v>
      </c>
      <c r="D21" s="99">
        <v>3110</v>
      </c>
      <c r="E21" s="99">
        <v>432</v>
      </c>
      <c r="F21" s="99" t="s">
        <v>367</v>
      </c>
      <c r="G21" s="99">
        <v>8</v>
      </c>
      <c r="H21" s="99" t="s">
        <v>597</v>
      </c>
      <c r="I21" s="99">
        <v>41</v>
      </c>
      <c r="J21" s="99">
        <v>329</v>
      </c>
      <c r="K21" s="99">
        <v>115</v>
      </c>
      <c r="L21" s="99">
        <v>621</v>
      </c>
      <c r="M21" s="99">
        <v>208</v>
      </c>
      <c r="N21" s="99">
        <v>105</v>
      </c>
      <c r="O21" s="99">
        <v>56</v>
      </c>
      <c r="P21" s="159">
        <v>56</v>
      </c>
      <c r="Q21" s="99">
        <v>6</v>
      </c>
      <c r="R21" s="99">
        <v>16</v>
      </c>
      <c r="S21" s="99">
        <v>16</v>
      </c>
      <c r="T21" s="99">
        <v>12</v>
      </c>
      <c r="U21" s="99" t="s">
        <v>597</v>
      </c>
      <c r="V21" s="99">
        <v>13</v>
      </c>
      <c r="W21" s="99">
        <v>9</v>
      </c>
      <c r="X21" s="99">
        <v>14</v>
      </c>
      <c r="Y21" s="99">
        <v>35</v>
      </c>
      <c r="Z21" s="99">
        <v>18</v>
      </c>
      <c r="AA21" s="99" t="s">
        <v>597</v>
      </c>
      <c r="AB21" s="99" t="s">
        <v>597</v>
      </c>
      <c r="AC21" s="99" t="s">
        <v>597</v>
      </c>
      <c r="AD21" s="98" t="s">
        <v>345</v>
      </c>
      <c r="AE21" s="100">
        <v>0.13890675241157557</v>
      </c>
      <c r="AF21" s="100">
        <v>0.07</v>
      </c>
      <c r="AG21" s="98">
        <v>257.2347266881029</v>
      </c>
      <c r="AH21" s="98" t="s">
        <v>597</v>
      </c>
      <c r="AI21" s="100">
        <v>0.013000000000000001</v>
      </c>
      <c r="AJ21" s="100">
        <v>0.804401</v>
      </c>
      <c r="AK21" s="100">
        <v>0.71875</v>
      </c>
      <c r="AL21" s="100">
        <v>0.783102</v>
      </c>
      <c r="AM21" s="100">
        <v>0.597701</v>
      </c>
      <c r="AN21" s="100">
        <v>0.59322</v>
      </c>
      <c r="AO21" s="98">
        <v>1800.6430868167204</v>
      </c>
      <c r="AP21" s="158">
        <v>0.9864317321999999</v>
      </c>
      <c r="AQ21" s="100">
        <v>0.10714285714285714</v>
      </c>
      <c r="AR21" s="100">
        <v>0.375</v>
      </c>
      <c r="AS21" s="98">
        <v>514.4694533762058</v>
      </c>
      <c r="AT21" s="98">
        <v>385.85209003215436</v>
      </c>
      <c r="AU21" s="98" t="s">
        <v>597</v>
      </c>
      <c r="AV21" s="98">
        <v>418.00643086816723</v>
      </c>
      <c r="AW21" s="98">
        <v>289.3890675241158</v>
      </c>
      <c r="AX21" s="98">
        <v>450.1607717041801</v>
      </c>
      <c r="AY21" s="98">
        <v>1125.40192926045</v>
      </c>
      <c r="AZ21" s="98">
        <v>578.7781350482315</v>
      </c>
      <c r="BA21" s="100" t="s">
        <v>597</v>
      </c>
      <c r="BB21" s="100" t="s">
        <v>597</v>
      </c>
      <c r="BC21" s="100" t="s">
        <v>597</v>
      </c>
      <c r="BD21" s="158">
        <v>0.7451399231000001</v>
      </c>
      <c r="BE21" s="158">
        <v>1.280963745</v>
      </c>
      <c r="BF21" s="162">
        <v>409</v>
      </c>
      <c r="BG21" s="162">
        <v>160</v>
      </c>
      <c r="BH21" s="162">
        <v>793</v>
      </c>
      <c r="BI21" s="162">
        <v>348</v>
      </c>
      <c r="BJ21" s="162">
        <v>177</v>
      </c>
      <c r="BK21" s="97"/>
      <c r="BL21" s="97"/>
      <c r="BM21" s="97"/>
      <c r="BN21" s="97"/>
    </row>
    <row r="22" spans="1:66" ht="12.75">
      <c r="A22" s="79" t="s">
        <v>557</v>
      </c>
      <c r="B22" s="79" t="s">
        <v>311</v>
      </c>
      <c r="C22" s="79" t="s">
        <v>266</v>
      </c>
      <c r="D22" s="99">
        <v>6770</v>
      </c>
      <c r="E22" s="99">
        <v>1751</v>
      </c>
      <c r="F22" s="99" t="s">
        <v>367</v>
      </c>
      <c r="G22" s="99">
        <v>53</v>
      </c>
      <c r="H22" s="99">
        <v>21</v>
      </c>
      <c r="I22" s="99">
        <v>154</v>
      </c>
      <c r="J22" s="99">
        <v>842</v>
      </c>
      <c r="K22" s="99">
        <v>11</v>
      </c>
      <c r="L22" s="99">
        <v>1218</v>
      </c>
      <c r="M22" s="99">
        <v>693</v>
      </c>
      <c r="N22" s="99">
        <v>361</v>
      </c>
      <c r="O22" s="99">
        <v>149</v>
      </c>
      <c r="P22" s="159">
        <v>149</v>
      </c>
      <c r="Q22" s="99">
        <v>24</v>
      </c>
      <c r="R22" s="99">
        <v>47</v>
      </c>
      <c r="S22" s="99">
        <v>36</v>
      </c>
      <c r="T22" s="99">
        <v>31</v>
      </c>
      <c r="U22" s="99">
        <v>6</v>
      </c>
      <c r="V22" s="99">
        <v>46</v>
      </c>
      <c r="W22" s="99">
        <v>49</v>
      </c>
      <c r="X22" s="99">
        <v>55</v>
      </c>
      <c r="Y22" s="99">
        <v>89</v>
      </c>
      <c r="Z22" s="99">
        <v>60</v>
      </c>
      <c r="AA22" s="99" t="s">
        <v>597</v>
      </c>
      <c r="AB22" s="99" t="s">
        <v>597</v>
      </c>
      <c r="AC22" s="99" t="s">
        <v>597</v>
      </c>
      <c r="AD22" s="98" t="s">
        <v>345</v>
      </c>
      <c r="AE22" s="100">
        <v>0.2586410635155096</v>
      </c>
      <c r="AF22" s="100">
        <v>0.06</v>
      </c>
      <c r="AG22" s="98">
        <v>782.8655834564254</v>
      </c>
      <c r="AH22" s="98">
        <v>310.192023633678</v>
      </c>
      <c r="AI22" s="100">
        <v>0.023</v>
      </c>
      <c r="AJ22" s="100">
        <v>0.76895</v>
      </c>
      <c r="AK22" s="100">
        <v>0.647059</v>
      </c>
      <c r="AL22" s="100">
        <v>0.771863</v>
      </c>
      <c r="AM22" s="100">
        <v>0.650094</v>
      </c>
      <c r="AN22" s="100">
        <v>0.686312</v>
      </c>
      <c r="AO22" s="98">
        <v>2200.886262924668</v>
      </c>
      <c r="AP22" s="158">
        <v>0.9299149323</v>
      </c>
      <c r="AQ22" s="100">
        <v>0.1610738255033557</v>
      </c>
      <c r="AR22" s="100">
        <v>0.5106382978723404</v>
      </c>
      <c r="AS22" s="98">
        <v>531.7577548005909</v>
      </c>
      <c r="AT22" s="98">
        <v>457.9025110782866</v>
      </c>
      <c r="AU22" s="98">
        <v>88.62629246676514</v>
      </c>
      <c r="AV22" s="98">
        <v>679.4682422451995</v>
      </c>
      <c r="AW22" s="98">
        <v>723.781388478582</v>
      </c>
      <c r="AX22" s="98">
        <v>812.4076809453471</v>
      </c>
      <c r="AY22" s="98">
        <v>1314.6233382570163</v>
      </c>
      <c r="AZ22" s="98">
        <v>886.2629246676514</v>
      </c>
      <c r="BA22" s="100" t="s">
        <v>597</v>
      </c>
      <c r="BB22" s="100" t="s">
        <v>597</v>
      </c>
      <c r="BC22" s="100" t="s">
        <v>597</v>
      </c>
      <c r="BD22" s="158">
        <v>0.7865979004</v>
      </c>
      <c r="BE22" s="158">
        <v>1.091790237</v>
      </c>
      <c r="BF22" s="162">
        <v>1095</v>
      </c>
      <c r="BG22" s="162">
        <v>17</v>
      </c>
      <c r="BH22" s="162">
        <v>1578</v>
      </c>
      <c r="BI22" s="162">
        <v>1066</v>
      </c>
      <c r="BJ22" s="162">
        <v>526</v>
      </c>
      <c r="BK22" s="97"/>
      <c r="BL22" s="97"/>
      <c r="BM22" s="97"/>
      <c r="BN22" s="97"/>
    </row>
    <row r="23" spans="1:66" ht="12.75">
      <c r="A23" s="79" t="s">
        <v>546</v>
      </c>
      <c r="B23" s="79" t="s">
        <v>300</v>
      </c>
      <c r="C23" s="79" t="s">
        <v>266</v>
      </c>
      <c r="D23" s="99">
        <v>8729</v>
      </c>
      <c r="E23" s="99">
        <v>1934</v>
      </c>
      <c r="F23" s="99" t="s">
        <v>367</v>
      </c>
      <c r="G23" s="99">
        <v>59</v>
      </c>
      <c r="H23" s="99">
        <v>22</v>
      </c>
      <c r="I23" s="99">
        <v>250</v>
      </c>
      <c r="J23" s="99">
        <v>951</v>
      </c>
      <c r="K23" s="99">
        <v>437</v>
      </c>
      <c r="L23" s="99">
        <v>1669</v>
      </c>
      <c r="M23" s="99">
        <v>685</v>
      </c>
      <c r="N23" s="99">
        <v>344</v>
      </c>
      <c r="O23" s="99">
        <v>194</v>
      </c>
      <c r="P23" s="159">
        <v>194</v>
      </c>
      <c r="Q23" s="99">
        <v>26</v>
      </c>
      <c r="R23" s="99">
        <v>57</v>
      </c>
      <c r="S23" s="99">
        <v>40</v>
      </c>
      <c r="T23" s="99">
        <v>42</v>
      </c>
      <c r="U23" s="99">
        <v>6</v>
      </c>
      <c r="V23" s="99">
        <v>43</v>
      </c>
      <c r="W23" s="99">
        <v>55</v>
      </c>
      <c r="X23" s="99">
        <v>53</v>
      </c>
      <c r="Y23" s="99">
        <v>117</v>
      </c>
      <c r="Z23" s="99">
        <v>77</v>
      </c>
      <c r="AA23" s="99" t="s">
        <v>597</v>
      </c>
      <c r="AB23" s="99" t="s">
        <v>597</v>
      </c>
      <c r="AC23" s="99" t="s">
        <v>597</v>
      </c>
      <c r="AD23" s="98" t="s">
        <v>345</v>
      </c>
      <c r="AE23" s="100">
        <v>0.22156031618742125</v>
      </c>
      <c r="AF23" s="100">
        <v>0.08</v>
      </c>
      <c r="AG23" s="98">
        <v>675.907893229465</v>
      </c>
      <c r="AH23" s="98">
        <v>252.03345171268185</v>
      </c>
      <c r="AI23" s="100">
        <v>0.028999999999999998</v>
      </c>
      <c r="AJ23" s="100">
        <v>0.771916</v>
      </c>
      <c r="AK23" s="100">
        <v>0.70712</v>
      </c>
      <c r="AL23" s="100">
        <v>0.770189</v>
      </c>
      <c r="AM23" s="100">
        <v>0.605124</v>
      </c>
      <c r="AN23" s="100">
        <v>0.609929</v>
      </c>
      <c r="AO23" s="98">
        <v>2222.4768014663764</v>
      </c>
      <c r="AP23" s="158">
        <v>1.018622589</v>
      </c>
      <c r="AQ23" s="100">
        <v>0.13402061855670103</v>
      </c>
      <c r="AR23" s="100">
        <v>0.45614035087719296</v>
      </c>
      <c r="AS23" s="98">
        <v>458.2426394776034</v>
      </c>
      <c r="AT23" s="98">
        <v>481.15477145148355</v>
      </c>
      <c r="AU23" s="98">
        <v>68.73639592164051</v>
      </c>
      <c r="AV23" s="98">
        <v>492.61083743842363</v>
      </c>
      <c r="AW23" s="98">
        <v>630.0836292817047</v>
      </c>
      <c r="AX23" s="98">
        <v>607.1714973078244</v>
      </c>
      <c r="AY23" s="98">
        <v>1340.35972047199</v>
      </c>
      <c r="AZ23" s="98">
        <v>882.1170809943866</v>
      </c>
      <c r="BA23" s="100" t="s">
        <v>597</v>
      </c>
      <c r="BB23" s="100" t="s">
        <v>597</v>
      </c>
      <c r="BC23" s="100" t="s">
        <v>597</v>
      </c>
      <c r="BD23" s="158">
        <v>0.8803209686</v>
      </c>
      <c r="BE23" s="158">
        <v>1.1724866489999999</v>
      </c>
      <c r="BF23" s="162">
        <v>1232</v>
      </c>
      <c r="BG23" s="162">
        <v>618</v>
      </c>
      <c r="BH23" s="162">
        <v>2167</v>
      </c>
      <c r="BI23" s="162">
        <v>1132</v>
      </c>
      <c r="BJ23" s="162">
        <v>564</v>
      </c>
      <c r="BK23" s="97"/>
      <c r="BL23" s="97"/>
      <c r="BM23" s="97"/>
      <c r="BN23" s="97"/>
    </row>
    <row r="24" spans="1:66" ht="12.75">
      <c r="A24" s="79" t="s">
        <v>535</v>
      </c>
      <c r="B24" s="79" t="s">
        <v>289</v>
      </c>
      <c r="C24" s="79" t="s">
        <v>266</v>
      </c>
      <c r="D24" s="99">
        <v>14019</v>
      </c>
      <c r="E24" s="99">
        <v>3089</v>
      </c>
      <c r="F24" s="99" t="s">
        <v>366</v>
      </c>
      <c r="G24" s="99">
        <v>87</v>
      </c>
      <c r="H24" s="99">
        <v>47</v>
      </c>
      <c r="I24" s="99">
        <v>354</v>
      </c>
      <c r="J24" s="99">
        <v>1550</v>
      </c>
      <c r="K24" s="99">
        <v>12</v>
      </c>
      <c r="L24" s="99">
        <v>2447</v>
      </c>
      <c r="M24" s="99">
        <v>1158</v>
      </c>
      <c r="N24" s="99">
        <v>606</v>
      </c>
      <c r="O24" s="99">
        <v>174</v>
      </c>
      <c r="P24" s="159">
        <v>174</v>
      </c>
      <c r="Q24" s="99">
        <v>31</v>
      </c>
      <c r="R24" s="99">
        <v>88</v>
      </c>
      <c r="S24" s="99">
        <v>32</v>
      </c>
      <c r="T24" s="99">
        <v>36</v>
      </c>
      <c r="U24" s="99">
        <v>6</v>
      </c>
      <c r="V24" s="99">
        <v>34</v>
      </c>
      <c r="W24" s="99">
        <v>118</v>
      </c>
      <c r="X24" s="99">
        <v>35</v>
      </c>
      <c r="Y24" s="99">
        <v>211</v>
      </c>
      <c r="Z24" s="99">
        <v>128</v>
      </c>
      <c r="AA24" s="99" t="s">
        <v>597</v>
      </c>
      <c r="AB24" s="99" t="s">
        <v>597</v>
      </c>
      <c r="AC24" s="99" t="s">
        <v>597</v>
      </c>
      <c r="AD24" s="98" t="s">
        <v>345</v>
      </c>
      <c r="AE24" s="100">
        <v>0.22034381910264642</v>
      </c>
      <c r="AF24" s="100">
        <v>0.09</v>
      </c>
      <c r="AG24" s="98">
        <v>620.5863471003638</v>
      </c>
      <c r="AH24" s="98">
        <v>335.2592909622655</v>
      </c>
      <c r="AI24" s="100">
        <v>0.025</v>
      </c>
      <c r="AJ24" s="100">
        <v>0.769995</v>
      </c>
      <c r="AK24" s="100">
        <v>0.444444</v>
      </c>
      <c r="AL24" s="100">
        <v>0.754316</v>
      </c>
      <c r="AM24" s="100">
        <v>0.582788</v>
      </c>
      <c r="AN24" s="100">
        <v>0.6</v>
      </c>
      <c r="AO24" s="98">
        <v>1241.1726942007276</v>
      </c>
      <c r="AP24" s="158">
        <v>0.5726334</v>
      </c>
      <c r="AQ24" s="100">
        <v>0.1781609195402299</v>
      </c>
      <c r="AR24" s="100">
        <v>0.3522727272727273</v>
      </c>
      <c r="AS24" s="98">
        <v>228.26164491047862</v>
      </c>
      <c r="AT24" s="98">
        <v>256.79435052428846</v>
      </c>
      <c r="AU24" s="98">
        <v>42.79905842071474</v>
      </c>
      <c r="AV24" s="98">
        <v>242.52799771738356</v>
      </c>
      <c r="AW24" s="98">
        <v>841.7148156073899</v>
      </c>
      <c r="AX24" s="98">
        <v>249.661174120836</v>
      </c>
      <c r="AY24" s="98">
        <v>1505.1002211284685</v>
      </c>
      <c r="AZ24" s="98">
        <v>913.0465796419145</v>
      </c>
      <c r="BA24" s="100" t="s">
        <v>597</v>
      </c>
      <c r="BB24" s="100" t="s">
        <v>597</v>
      </c>
      <c r="BC24" s="100" t="s">
        <v>597</v>
      </c>
      <c r="BD24" s="158">
        <v>0.49070758820000004</v>
      </c>
      <c r="BE24" s="158">
        <v>0.6643260193</v>
      </c>
      <c r="BF24" s="162">
        <v>2013</v>
      </c>
      <c r="BG24" s="162">
        <v>27</v>
      </c>
      <c r="BH24" s="162">
        <v>3244</v>
      </c>
      <c r="BI24" s="162">
        <v>1987</v>
      </c>
      <c r="BJ24" s="162">
        <v>1010</v>
      </c>
      <c r="BK24" s="97"/>
      <c r="BL24" s="97"/>
      <c r="BM24" s="97"/>
      <c r="BN24" s="97"/>
    </row>
    <row r="25" spans="1:66" ht="12.75">
      <c r="A25" s="79" t="s">
        <v>544</v>
      </c>
      <c r="B25" s="79" t="s">
        <v>298</v>
      </c>
      <c r="C25" s="79" t="s">
        <v>266</v>
      </c>
      <c r="D25" s="99">
        <v>7157</v>
      </c>
      <c r="E25" s="99">
        <v>1256</v>
      </c>
      <c r="F25" s="99" t="s">
        <v>366</v>
      </c>
      <c r="G25" s="99">
        <v>43</v>
      </c>
      <c r="H25" s="99">
        <v>22</v>
      </c>
      <c r="I25" s="99">
        <v>142</v>
      </c>
      <c r="J25" s="99">
        <v>635</v>
      </c>
      <c r="K25" s="99">
        <v>575</v>
      </c>
      <c r="L25" s="99">
        <v>1348</v>
      </c>
      <c r="M25" s="99">
        <v>541</v>
      </c>
      <c r="N25" s="99">
        <v>278</v>
      </c>
      <c r="O25" s="99">
        <v>161</v>
      </c>
      <c r="P25" s="159">
        <v>161</v>
      </c>
      <c r="Q25" s="99">
        <v>19</v>
      </c>
      <c r="R25" s="99">
        <v>39</v>
      </c>
      <c r="S25" s="99">
        <v>33</v>
      </c>
      <c r="T25" s="99">
        <v>39</v>
      </c>
      <c r="U25" s="99" t="s">
        <v>597</v>
      </c>
      <c r="V25" s="99">
        <v>30</v>
      </c>
      <c r="W25" s="99">
        <v>50</v>
      </c>
      <c r="X25" s="99">
        <v>48</v>
      </c>
      <c r="Y25" s="99">
        <v>72</v>
      </c>
      <c r="Z25" s="99">
        <v>59</v>
      </c>
      <c r="AA25" s="99" t="s">
        <v>597</v>
      </c>
      <c r="AB25" s="99" t="s">
        <v>597</v>
      </c>
      <c r="AC25" s="99" t="s">
        <v>597</v>
      </c>
      <c r="AD25" s="98" t="s">
        <v>345</v>
      </c>
      <c r="AE25" s="100">
        <v>0.17549252480089422</v>
      </c>
      <c r="AF25" s="100">
        <v>0.1</v>
      </c>
      <c r="AG25" s="98">
        <v>600.8103954170742</v>
      </c>
      <c r="AH25" s="98">
        <v>307.3913650971077</v>
      </c>
      <c r="AI25" s="100">
        <v>0.02</v>
      </c>
      <c r="AJ25" s="100">
        <v>0.63755</v>
      </c>
      <c r="AK25" s="100">
        <v>0.793103</v>
      </c>
      <c r="AL25" s="100">
        <v>0.759865</v>
      </c>
      <c r="AM25" s="100">
        <v>0.606502</v>
      </c>
      <c r="AN25" s="100">
        <v>0.62754</v>
      </c>
      <c r="AO25" s="98">
        <v>2249.545899119743</v>
      </c>
      <c r="AP25" s="158">
        <v>1.146205597</v>
      </c>
      <c r="AQ25" s="100">
        <v>0.11801242236024845</v>
      </c>
      <c r="AR25" s="100">
        <v>0.48717948717948717</v>
      </c>
      <c r="AS25" s="98">
        <v>461.0870476456616</v>
      </c>
      <c r="AT25" s="98">
        <v>544.9210563085092</v>
      </c>
      <c r="AU25" s="98" t="s">
        <v>597</v>
      </c>
      <c r="AV25" s="98">
        <v>419.17004331423783</v>
      </c>
      <c r="AW25" s="98">
        <v>698.6167388570631</v>
      </c>
      <c r="AX25" s="98">
        <v>670.6720693027805</v>
      </c>
      <c r="AY25" s="98">
        <v>1006.0081039541708</v>
      </c>
      <c r="AZ25" s="98">
        <v>824.3677518513343</v>
      </c>
      <c r="BA25" s="100" t="s">
        <v>597</v>
      </c>
      <c r="BB25" s="100" t="s">
        <v>597</v>
      </c>
      <c r="BC25" s="100" t="s">
        <v>597</v>
      </c>
      <c r="BD25" s="158">
        <v>0.9759912872</v>
      </c>
      <c r="BE25" s="158">
        <v>1.337568665</v>
      </c>
      <c r="BF25" s="162">
        <v>996</v>
      </c>
      <c r="BG25" s="162">
        <v>725</v>
      </c>
      <c r="BH25" s="162">
        <v>1774</v>
      </c>
      <c r="BI25" s="162">
        <v>892</v>
      </c>
      <c r="BJ25" s="162">
        <v>443</v>
      </c>
      <c r="BK25" s="97"/>
      <c r="BL25" s="97"/>
      <c r="BM25" s="97"/>
      <c r="BN25" s="97"/>
    </row>
    <row r="26" spans="1:66" ht="12.75">
      <c r="A26" s="79" t="s">
        <v>528</v>
      </c>
      <c r="B26" s="79" t="s">
        <v>282</v>
      </c>
      <c r="C26" s="79" t="s">
        <v>266</v>
      </c>
      <c r="D26" s="99">
        <v>11574</v>
      </c>
      <c r="E26" s="99">
        <v>2563</v>
      </c>
      <c r="F26" s="99" t="s">
        <v>366</v>
      </c>
      <c r="G26" s="99">
        <v>41</v>
      </c>
      <c r="H26" s="99">
        <v>32</v>
      </c>
      <c r="I26" s="99">
        <v>308</v>
      </c>
      <c r="J26" s="99">
        <v>1217</v>
      </c>
      <c r="K26" s="99">
        <v>214</v>
      </c>
      <c r="L26" s="99">
        <v>2206</v>
      </c>
      <c r="M26" s="99">
        <v>910</v>
      </c>
      <c r="N26" s="99">
        <v>470</v>
      </c>
      <c r="O26" s="99">
        <v>236</v>
      </c>
      <c r="P26" s="159">
        <v>236</v>
      </c>
      <c r="Q26" s="99">
        <v>41</v>
      </c>
      <c r="R26" s="99">
        <v>96</v>
      </c>
      <c r="S26" s="99">
        <v>46</v>
      </c>
      <c r="T26" s="99">
        <v>70</v>
      </c>
      <c r="U26" s="99">
        <v>15</v>
      </c>
      <c r="V26" s="99">
        <v>40</v>
      </c>
      <c r="W26" s="99">
        <v>75</v>
      </c>
      <c r="X26" s="99">
        <v>65</v>
      </c>
      <c r="Y26" s="99">
        <v>130</v>
      </c>
      <c r="Z26" s="99">
        <v>99</v>
      </c>
      <c r="AA26" s="99" t="s">
        <v>597</v>
      </c>
      <c r="AB26" s="99" t="s">
        <v>597</v>
      </c>
      <c r="AC26" s="99" t="s">
        <v>597</v>
      </c>
      <c r="AD26" s="98" t="s">
        <v>345</v>
      </c>
      <c r="AE26" s="100">
        <v>0.22144461724555037</v>
      </c>
      <c r="AF26" s="100">
        <v>0.09</v>
      </c>
      <c r="AG26" s="98">
        <v>354.24226715050975</v>
      </c>
      <c r="AH26" s="98">
        <v>276.4817694833247</v>
      </c>
      <c r="AI26" s="100">
        <v>0.027000000000000003</v>
      </c>
      <c r="AJ26" s="100">
        <v>0.800131</v>
      </c>
      <c r="AK26" s="100">
        <v>0.5961</v>
      </c>
      <c r="AL26" s="100">
        <v>0.81734</v>
      </c>
      <c r="AM26" s="100">
        <v>0.624571</v>
      </c>
      <c r="AN26" s="100">
        <v>0.630027</v>
      </c>
      <c r="AO26" s="98">
        <v>2039.0530499395197</v>
      </c>
      <c r="AP26" s="158">
        <v>0.9635489655</v>
      </c>
      <c r="AQ26" s="100">
        <v>0.17372881355932204</v>
      </c>
      <c r="AR26" s="100">
        <v>0.4270833333333333</v>
      </c>
      <c r="AS26" s="98">
        <v>397.44254363227924</v>
      </c>
      <c r="AT26" s="98">
        <v>604.8038707447728</v>
      </c>
      <c r="AU26" s="98">
        <v>129.60082944530845</v>
      </c>
      <c r="AV26" s="98">
        <v>345.6022118541559</v>
      </c>
      <c r="AW26" s="98">
        <v>648.0041472265423</v>
      </c>
      <c r="AX26" s="98">
        <v>561.6035942630033</v>
      </c>
      <c r="AY26" s="98">
        <v>1123.2071885260066</v>
      </c>
      <c r="AZ26" s="98">
        <v>855.3654743390358</v>
      </c>
      <c r="BA26" s="100" t="s">
        <v>597</v>
      </c>
      <c r="BB26" s="100" t="s">
        <v>597</v>
      </c>
      <c r="BC26" s="100" t="s">
        <v>597</v>
      </c>
      <c r="BD26" s="158">
        <v>0.8445282745</v>
      </c>
      <c r="BE26" s="158">
        <v>1.0946445470000001</v>
      </c>
      <c r="BF26" s="162">
        <v>1521</v>
      </c>
      <c r="BG26" s="162">
        <v>359</v>
      </c>
      <c r="BH26" s="162">
        <v>2699</v>
      </c>
      <c r="BI26" s="162">
        <v>1457</v>
      </c>
      <c r="BJ26" s="162">
        <v>746</v>
      </c>
      <c r="BK26" s="97"/>
      <c r="BL26" s="97"/>
      <c r="BM26" s="97"/>
      <c r="BN26" s="97"/>
    </row>
    <row r="27" spans="1:66" ht="12.75">
      <c r="A27" s="79" t="s">
        <v>532</v>
      </c>
      <c r="B27" s="79" t="s">
        <v>286</v>
      </c>
      <c r="C27" s="79" t="s">
        <v>266</v>
      </c>
      <c r="D27" s="99">
        <v>15420</v>
      </c>
      <c r="E27" s="99">
        <v>2136</v>
      </c>
      <c r="F27" s="99" t="s">
        <v>366</v>
      </c>
      <c r="G27" s="99">
        <v>47</v>
      </c>
      <c r="H27" s="99">
        <v>35</v>
      </c>
      <c r="I27" s="99">
        <v>221</v>
      </c>
      <c r="J27" s="99">
        <v>1269</v>
      </c>
      <c r="K27" s="99">
        <v>1232</v>
      </c>
      <c r="L27" s="99">
        <v>2963</v>
      </c>
      <c r="M27" s="99">
        <v>848</v>
      </c>
      <c r="N27" s="99">
        <v>447</v>
      </c>
      <c r="O27" s="99">
        <v>199</v>
      </c>
      <c r="P27" s="159">
        <v>199</v>
      </c>
      <c r="Q27" s="99">
        <v>17</v>
      </c>
      <c r="R27" s="99">
        <v>67</v>
      </c>
      <c r="S27" s="99">
        <v>34</v>
      </c>
      <c r="T27" s="99">
        <v>35</v>
      </c>
      <c r="U27" s="99">
        <v>15</v>
      </c>
      <c r="V27" s="99">
        <v>50</v>
      </c>
      <c r="W27" s="99">
        <v>94</v>
      </c>
      <c r="X27" s="99">
        <v>31</v>
      </c>
      <c r="Y27" s="99">
        <v>150</v>
      </c>
      <c r="Z27" s="99">
        <v>65</v>
      </c>
      <c r="AA27" s="99" t="s">
        <v>597</v>
      </c>
      <c r="AB27" s="99" t="s">
        <v>597</v>
      </c>
      <c r="AC27" s="99" t="s">
        <v>597</v>
      </c>
      <c r="AD27" s="98" t="s">
        <v>345</v>
      </c>
      <c r="AE27" s="100">
        <v>0.13852140077821012</v>
      </c>
      <c r="AF27" s="100">
        <v>0.1</v>
      </c>
      <c r="AG27" s="98">
        <v>304.79896238651105</v>
      </c>
      <c r="AH27" s="98">
        <v>226.97795071335926</v>
      </c>
      <c r="AI27" s="100">
        <v>0.013999999999999999</v>
      </c>
      <c r="AJ27" s="100">
        <v>0.756708</v>
      </c>
      <c r="AK27" s="100">
        <v>0.753517</v>
      </c>
      <c r="AL27" s="100">
        <v>0.76504</v>
      </c>
      <c r="AM27" s="100">
        <v>0.598447</v>
      </c>
      <c r="AN27" s="100">
        <v>0.625175</v>
      </c>
      <c r="AO27" s="98">
        <v>1290.5317769131</v>
      </c>
      <c r="AP27" s="158">
        <v>0.7452244568</v>
      </c>
      <c r="AQ27" s="100">
        <v>0.08542713567839195</v>
      </c>
      <c r="AR27" s="100">
        <v>0.2537313432835821</v>
      </c>
      <c r="AS27" s="98">
        <v>220.4928664072633</v>
      </c>
      <c r="AT27" s="98">
        <v>226.97795071335926</v>
      </c>
      <c r="AU27" s="98">
        <v>97.27626459143968</v>
      </c>
      <c r="AV27" s="98">
        <v>324.25421530479895</v>
      </c>
      <c r="AW27" s="98">
        <v>609.5979247730221</v>
      </c>
      <c r="AX27" s="98">
        <v>201.03761348897535</v>
      </c>
      <c r="AY27" s="98">
        <v>972.7626459143969</v>
      </c>
      <c r="AZ27" s="98">
        <v>421.53047989623866</v>
      </c>
      <c r="BA27" s="100" t="s">
        <v>597</v>
      </c>
      <c r="BB27" s="100" t="s">
        <v>597</v>
      </c>
      <c r="BC27" s="100" t="s">
        <v>597</v>
      </c>
      <c r="BD27" s="158">
        <v>0.6452755737</v>
      </c>
      <c r="BE27" s="158">
        <v>0.8562693787000001</v>
      </c>
      <c r="BF27" s="162">
        <v>1677</v>
      </c>
      <c r="BG27" s="162">
        <v>1635</v>
      </c>
      <c r="BH27" s="162">
        <v>3873</v>
      </c>
      <c r="BI27" s="162">
        <v>1417</v>
      </c>
      <c r="BJ27" s="162">
        <v>715</v>
      </c>
      <c r="BK27" s="97"/>
      <c r="BL27" s="97"/>
      <c r="BM27" s="97"/>
      <c r="BN27" s="97"/>
    </row>
    <row r="28" spans="1:66" ht="12.75">
      <c r="A28" s="79" t="s">
        <v>583</v>
      </c>
      <c r="B28" s="79" t="s">
        <v>337</v>
      </c>
      <c r="C28" s="79" t="s">
        <v>266</v>
      </c>
      <c r="D28" s="99">
        <v>2030</v>
      </c>
      <c r="E28" s="99">
        <v>546</v>
      </c>
      <c r="F28" s="99" t="s">
        <v>367</v>
      </c>
      <c r="G28" s="99">
        <v>16</v>
      </c>
      <c r="H28" s="99">
        <v>11</v>
      </c>
      <c r="I28" s="99">
        <v>69</v>
      </c>
      <c r="J28" s="99">
        <v>269</v>
      </c>
      <c r="K28" s="99">
        <v>251</v>
      </c>
      <c r="L28" s="99">
        <v>413</v>
      </c>
      <c r="M28" s="99">
        <v>225</v>
      </c>
      <c r="N28" s="99">
        <v>125</v>
      </c>
      <c r="O28" s="99">
        <v>37</v>
      </c>
      <c r="P28" s="159">
        <v>37</v>
      </c>
      <c r="Q28" s="99">
        <v>8</v>
      </c>
      <c r="R28" s="99">
        <v>14</v>
      </c>
      <c r="S28" s="99">
        <v>10</v>
      </c>
      <c r="T28" s="99" t="s">
        <v>597</v>
      </c>
      <c r="U28" s="99" t="s">
        <v>597</v>
      </c>
      <c r="V28" s="99">
        <v>6</v>
      </c>
      <c r="W28" s="99">
        <v>8</v>
      </c>
      <c r="X28" s="99">
        <v>8</v>
      </c>
      <c r="Y28" s="99">
        <v>17</v>
      </c>
      <c r="Z28" s="99">
        <v>20</v>
      </c>
      <c r="AA28" s="99" t="s">
        <v>597</v>
      </c>
      <c r="AB28" s="99" t="s">
        <v>597</v>
      </c>
      <c r="AC28" s="99" t="s">
        <v>597</v>
      </c>
      <c r="AD28" s="98" t="s">
        <v>345</v>
      </c>
      <c r="AE28" s="100">
        <v>0.2689655172413793</v>
      </c>
      <c r="AF28" s="100">
        <v>0.07</v>
      </c>
      <c r="AG28" s="98">
        <v>788.1773399014778</v>
      </c>
      <c r="AH28" s="98">
        <v>541.871921182266</v>
      </c>
      <c r="AI28" s="100">
        <v>0.034</v>
      </c>
      <c r="AJ28" s="100">
        <v>0.741047</v>
      </c>
      <c r="AK28" s="100">
        <v>0.733918</v>
      </c>
      <c r="AL28" s="100">
        <v>0.848049</v>
      </c>
      <c r="AM28" s="100">
        <v>0.652174</v>
      </c>
      <c r="AN28" s="100">
        <v>0.668449</v>
      </c>
      <c r="AO28" s="98">
        <v>1822.6600985221676</v>
      </c>
      <c r="AP28" s="158">
        <v>0.7328377533</v>
      </c>
      <c r="AQ28" s="100">
        <v>0.21621621621621623</v>
      </c>
      <c r="AR28" s="100">
        <v>0.5714285714285714</v>
      </c>
      <c r="AS28" s="98">
        <v>492.61083743842363</v>
      </c>
      <c r="AT28" s="98" t="s">
        <v>597</v>
      </c>
      <c r="AU28" s="98" t="s">
        <v>597</v>
      </c>
      <c r="AV28" s="98">
        <v>295.5665024630542</v>
      </c>
      <c r="AW28" s="98">
        <v>394.0886699507389</v>
      </c>
      <c r="AX28" s="98">
        <v>394.0886699507389</v>
      </c>
      <c r="AY28" s="98">
        <v>837.4384236453202</v>
      </c>
      <c r="AZ28" s="98">
        <v>985.2216748768473</v>
      </c>
      <c r="BA28" s="100" t="s">
        <v>597</v>
      </c>
      <c r="BB28" s="100" t="s">
        <v>597</v>
      </c>
      <c r="BC28" s="100" t="s">
        <v>597</v>
      </c>
      <c r="BD28" s="158">
        <v>0.5159854126</v>
      </c>
      <c r="BE28" s="158">
        <v>1.010120316</v>
      </c>
      <c r="BF28" s="162">
        <v>363</v>
      </c>
      <c r="BG28" s="162">
        <v>342</v>
      </c>
      <c r="BH28" s="162">
        <v>487</v>
      </c>
      <c r="BI28" s="162">
        <v>345</v>
      </c>
      <c r="BJ28" s="162">
        <v>187</v>
      </c>
      <c r="BK28" s="97"/>
      <c r="BL28" s="97"/>
      <c r="BM28" s="97"/>
      <c r="BN28" s="97"/>
    </row>
    <row r="29" spans="1:66" ht="12.75">
      <c r="A29" s="79" t="s">
        <v>572</v>
      </c>
      <c r="B29" s="79" t="s">
        <v>326</v>
      </c>
      <c r="C29" s="79" t="s">
        <v>266</v>
      </c>
      <c r="D29" s="99">
        <v>4430</v>
      </c>
      <c r="E29" s="99">
        <v>802</v>
      </c>
      <c r="F29" s="99" t="s">
        <v>367</v>
      </c>
      <c r="G29" s="99">
        <v>19</v>
      </c>
      <c r="H29" s="99">
        <v>6</v>
      </c>
      <c r="I29" s="99">
        <v>90</v>
      </c>
      <c r="J29" s="99">
        <v>484</v>
      </c>
      <c r="K29" s="99">
        <v>475</v>
      </c>
      <c r="L29" s="99">
        <v>922</v>
      </c>
      <c r="M29" s="99">
        <v>344</v>
      </c>
      <c r="N29" s="99">
        <v>167</v>
      </c>
      <c r="O29" s="99">
        <v>37</v>
      </c>
      <c r="P29" s="159">
        <v>37</v>
      </c>
      <c r="Q29" s="99">
        <v>7</v>
      </c>
      <c r="R29" s="99">
        <v>14</v>
      </c>
      <c r="S29" s="99">
        <v>8</v>
      </c>
      <c r="T29" s="99">
        <v>9</v>
      </c>
      <c r="U29" s="99">
        <v>6</v>
      </c>
      <c r="V29" s="99" t="s">
        <v>597</v>
      </c>
      <c r="W29" s="99">
        <v>14</v>
      </c>
      <c r="X29" s="99" t="s">
        <v>597</v>
      </c>
      <c r="Y29" s="99">
        <v>42</v>
      </c>
      <c r="Z29" s="99">
        <v>19</v>
      </c>
      <c r="AA29" s="99" t="s">
        <v>597</v>
      </c>
      <c r="AB29" s="99" t="s">
        <v>597</v>
      </c>
      <c r="AC29" s="99" t="s">
        <v>597</v>
      </c>
      <c r="AD29" s="98" t="s">
        <v>345</v>
      </c>
      <c r="AE29" s="100">
        <v>0.18103837471783296</v>
      </c>
      <c r="AF29" s="100">
        <v>0.06</v>
      </c>
      <c r="AG29" s="98">
        <v>428.8939051918736</v>
      </c>
      <c r="AH29" s="98">
        <v>135.44018058690745</v>
      </c>
      <c r="AI29" s="100">
        <v>0.02</v>
      </c>
      <c r="AJ29" s="100">
        <v>0.741194</v>
      </c>
      <c r="AK29" s="100">
        <v>0.757576</v>
      </c>
      <c r="AL29" s="100">
        <v>0.819556</v>
      </c>
      <c r="AM29" s="100">
        <v>0.603509</v>
      </c>
      <c r="AN29" s="100">
        <v>0.588028</v>
      </c>
      <c r="AO29" s="98">
        <v>835.214446952596</v>
      </c>
      <c r="AP29" s="158">
        <v>0.4071318436</v>
      </c>
      <c r="AQ29" s="100">
        <v>0.1891891891891892</v>
      </c>
      <c r="AR29" s="100">
        <v>0.5</v>
      </c>
      <c r="AS29" s="98">
        <v>180.58690744920995</v>
      </c>
      <c r="AT29" s="98">
        <v>203.16027088036117</v>
      </c>
      <c r="AU29" s="98">
        <v>135.44018058690745</v>
      </c>
      <c r="AV29" s="98" t="s">
        <v>597</v>
      </c>
      <c r="AW29" s="98">
        <v>316.0270880361174</v>
      </c>
      <c r="AX29" s="98" t="s">
        <v>597</v>
      </c>
      <c r="AY29" s="98">
        <v>948.0812641083521</v>
      </c>
      <c r="AZ29" s="98">
        <v>428.8939051918736</v>
      </c>
      <c r="BA29" s="100" t="s">
        <v>597</v>
      </c>
      <c r="BB29" s="100" t="s">
        <v>597</v>
      </c>
      <c r="BC29" s="100" t="s">
        <v>597</v>
      </c>
      <c r="BD29" s="158">
        <v>0.2866584015</v>
      </c>
      <c r="BE29" s="158">
        <v>0.5611776352</v>
      </c>
      <c r="BF29" s="162">
        <v>653</v>
      </c>
      <c r="BG29" s="162">
        <v>627</v>
      </c>
      <c r="BH29" s="162">
        <v>1125</v>
      </c>
      <c r="BI29" s="162">
        <v>570</v>
      </c>
      <c r="BJ29" s="162">
        <v>284</v>
      </c>
      <c r="BK29" s="97"/>
      <c r="BL29" s="97"/>
      <c r="BM29" s="97"/>
      <c r="BN29" s="97"/>
    </row>
    <row r="30" spans="1:66" ht="12.75">
      <c r="A30" s="79" t="s">
        <v>551</v>
      </c>
      <c r="B30" s="79" t="s">
        <v>305</v>
      </c>
      <c r="C30" s="79" t="s">
        <v>266</v>
      </c>
      <c r="D30" s="99">
        <v>7971</v>
      </c>
      <c r="E30" s="99">
        <v>1757</v>
      </c>
      <c r="F30" s="99" t="s">
        <v>366</v>
      </c>
      <c r="G30" s="99">
        <v>38</v>
      </c>
      <c r="H30" s="99">
        <v>23</v>
      </c>
      <c r="I30" s="99">
        <v>75</v>
      </c>
      <c r="J30" s="99">
        <v>880</v>
      </c>
      <c r="K30" s="99">
        <v>11</v>
      </c>
      <c r="L30" s="99">
        <v>1414</v>
      </c>
      <c r="M30" s="99">
        <v>675</v>
      </c>
      <c r="N30" s="99">
        <v>354</v>
      </c>
      <c r="O30" s="99">
        <v>139</v>
      </c>
      <c r="P30" s="159">
        <v>139</v>
      </c>
      <c r="Q30" s="99">
        <v>19</v>
      </c>
      <c r="R30" s="99">
        <v>48</v>
      </c>
      <c r="S30" s="99">
        <v>15</v>
      </c>
      <c r="T30" s="99">
        <v>32</v>
      </c>
      <c r="U30" s="99">
        <v>6</v>
      </c>
      <c r="V30" s="99">
        <v>19</v>
      </c>
      <c r="W30" s="99">
        <v>41</v>
      </c>
      <c r="X30" s="99">
        <v>18</v>
      </c>
      <c r="Y30" s="99">
        <v>109</v>
      </c>
      <c r="Z30" s="99">
        <v>43</v>
      </c>
      <c r="AA30" s="99" t="s">
        <v>597</v>
      </c>
      <c r="AB30" s="99" t="s">
        <v>597</v>
      </c>
      <c r="AC30" s="99" t="s">
        <v>597</v>
      </c>
      <c r="AD30" s="98" t="s">
        <v>345</v>
      </c>
      <c r="AE30" s="100">
        <v>0.22042403713461298</v>
      </c>
      <c r="AF30" s="100">
        <v>0.1</v>
      </c>
      <c r="AG30" s="98">
        <v>476.7281395057082</v>
      </c>
      <c r="AH30" s="98">
        <v>288.5459791745076</v>
      </c>
      <c r="AI30" s="100">
        <v>0.009000000000000001</v>
      </c>
      <c r="AJ30" s="100">
        <v>0.741365</v>
      </c>
      <c r="AK30" s="100">
        <v>0.52381</v>
      </c>
      <c r="AL30" s="100">
        <v>0.789503</v>
      </c>
      <c r="AM30" s="100">
        <v>0.592625</v>
      </c>
      <c r="AN30" s="100">
        <v>0.604096</v>
      </c>
      <c r="AO30" s="98">
        <v>1743.8213524024588</v>
      </c>
      <c r="AP30" s="158">
        <v>0.8145552826</v>
      </c>
      <c r="AQ30" s="100">
        <v>0.1366906474820144</v>
      </c>
      <c r="AR30" s="100">
        <v>0.3958333333333333</v>
      </c>
      <c r="AS30" s="98">
        <v>188.1821603312006</v>
      </c>
      <c r="AT30" s="98">
        <v>401.45527537322795</v>
      </c>
      <c r="AU30" s="98">
        <v>75.27286413248024</v>
      </c>
      <c r="AV30" s="98">
        <v>238.3640697528541</v>
      </c>
      <c r="AW30" s="98">
        <v>514.3645715719483</v>
      </c>
      <c r="AX30" s="98">
        <v>225.8185923974407</v>
      </c>
      <c r="AY30" s="98">
        <v>1367.4570317400578</v>
      </c>
      <c r="AZ30" s="98">
        <v>539.455526282775</v>
      </c>
      <c r="BA30" s="100" t="s">
        <v>597</v>
      </c>
      <c r="BB30" s="100" t="s">
        <v>597</v>
      </c>
      <c r="BC30" s="100" t="s">
        <v>597</v>
      </c>
      <c r="BD30" s="158">
        <v>0.6847748566</v>
      </c>
      <c r="BE30" s="158">
        <v>0.96177742</v>
      </c>
      <c r="BF30" s="162">
        <v>1187</v>
      </c>
      <c r="BG30" s="162">
        <v>21</v>
      </c>
      <c r="BH30" s="162">
        <v>1791</v>
      </c>
      <c r="BI30" s="162">
        <v>1139</v>
      </c>
      <c r="BJ30" s="162">
        <v>586</v>
      </c>
      <c r="BK30" s="97"/>
      <c r="BL30" s="97"/>
      <c r="BM30" s="97"/>
      <c r="BN30" s="97"/>
    </row>
    <row r="31" spans="1:66" ht="12.75">
      <c r="A31" s="79" t="s">
        <v>580</v>
      </c>
      <c r="B31" s="79" t="s">
        <v>334</v>
      </c>
      <c r="C31" s="79" t="s">
        <v>266</v>
      </c>
      <c r="D31" s="99">
        <v>8267</v>
      </c>
      <c r="E31" s="99">
        <v>653</v>
      </c>
      <c r="F31" s="99" t="s">
        <v>367</v>
      </c>
      <c r="G31" s="99">
        <v>13</v>
      </c>
      <c r="H31" s="99">
        <v>14</v>
      </c>
      <c r="I31" s="99">
        <v>117</v>
      </c>
      <c r="J31" s="99">
        <v>645</v>
      </c>
      <c r="K31" s="99">
        <v>629</v>
      </c>
      <c r="L31" s="99">
        <v>1860</v>
      </c>
      <c r="M31" s="99">
        <v>341</v>
      </c>
      <c r="N31" s="99">
        <v>184</v>
      </c>
      <c r="O31" s="99">
        <v>70</v>
      </c>
      <c r="P31" s="159">
        <v>70</v>
      </c>
      <c r="Q31" s="99">
        <v>11</v>
      </c>
      <c r="R31" s="99">
        <v>28</v>
      </c>
      <c r="S31" s="99">
        <v>17</v>
      </c>
      <c r="T31" s="99">
        <v>15</v>
      </c>
      <c r="U31" s="99" t="s">
        <v>597</v>
      </c>
      <c r="V31" s="99">
        <v>22</v>
      </c>
      <c r="W31" s="99">
        <v>35</v>
      </c>
      <c r="X31" s="99">
        <v>19</v>
      </c>
      <c r="Y31" s="99">
        <v>40</v>
      </c>
      <c r="Z31" s="99">
        <v>36</v>
      </c>
      <c r="AA31" s="99" t="s">
        <v>597</v>
      </c>
      <c r="AB31" s="99" t="s">
        <v>597</v>
      </c>
      <c r="AC31" s="99" t="s">
        <v>597</v>
      </c>
      <c r="AD31" s="98" t="s">
        <v>345</v>
      </c>
      <c r="AE31" s="100">
        <v>0.07898875045361074</v>
      </c>
      <c r="AF31" s="100">
        <v>0.07</v>
      </c>
      <c r="AG31" s="98">
        <v>157.25172372081772</v>
      </c>
      <c r="AH31" s="98">
        <v>169.34801016088062</v>
      </c>
      <c r="AI31" s="100">
        <v>0.013999999999999999</v>
      </c>
      <c r="AJ31" s="100">
        <v>0.796296</v>
      </c>
      <c r="AK31" s="100">
        <v>0.798223</v>
      </c>
      <c r="AL31" s="100">
        <v>0.828139</v>
      </c>
      <c r="AM31" s="100">
        <v>0.624542</v>
      </c>
      <c r="AN31" s="100">
        <v>0.641115</v>
      </c>
      <c r="AO31" s="98">
        <v>846.740050804403</v>
      </c>
      <c r="AP31" s="158">
        <v>0.5626426314999999</v>
      </c>
      <c r="AQ31" s="100">
        <v>0.15714285714285714</v>
      </c>
      <c r="AR31" s="100">
        <v>0.39285714285714285</v>
      </c>
      <c r="AS31" s="98">
        <v>205.6368694810693</v>
      </c>
      <c r="AT31" s="98">
        <v>181.44429660094352</v>
      </c>
      <c r="AU31" s="98" t="s">
        <v>597</v>
      </c>
      <c r="AV31" s="98">
        <v>266.1183016813838</v>
      </c>
      <c r="AW31" s="98">
        <v>423.3700254022015</v>
      </c>
      <c r="AX31" s="98">
        <v>229.8294423611951</v>
      </c>
      <c r="AY31" s="98">
        <v>483.851457602516</v>
      </c>
      <c r="AZ31" s="98">
        <v>435.4663118422644</v>
      </c>
      <c r="BA31" s="100" t="s">
        <v>597</v>
      </c>
      <c r="BB31" s="100" t="s">
        <v>597</v>
      </c>
      <c r="BC31" s="100" t="s">
        <v>597</v>
      </c>
      <c r="BD31" s="158">
        <v>0.4386075211</v>
      </c>
      <c r="BE31" s="158">
        <v>0.7108650969999999</v>
      </c>
      <c r="BF31" s="162">
        <v>810</v>
      </c>
      <c r="BG31" s="162">
        <v>788</v>
      </c>
      <c r="BH31" s="162">
        <v>2246</v>
      </c>
      <c r="BI31" s="162">
        <v>546</v>
      </c>
      <c r="BJ31" s="162">
        <v>287</v>
      </c>
      <c r="BK31" s="97"/>
      <c r="BL31" s="97"/>
      <c r="BM31" s="97"/>
      <c r="BN31" s="97"/>
    </row>
    <row r="32" spans="1:66" ht="12.75">
      <c r="A32" s="79" t="s">
        <v>533</v>
      </c>
      <c r="B32" s="79" t="s">
        <v>287</v>
      </c>
      <c r="C32" s="79" t="s">
        <v>266</v>
      </c>
      <c r="D32" s="99">
        <v>16332</v>
      </c>
      <c r="E32" s="99">
        <v>2838</v>
      </c>
      <c r="F32" s="99" t="s">
        <v>366</v>
      </c>
      <c r="G32" s="99">
        <v>71</v>
      </c>
      <c r="H32" s="99">
        <v>45</v>
      </c>
      <c r="I32" s="99">
        <v>331</v>
      </c>
      <c r="J32" s="99">
        <v>1613</v>
      </c>
      <c r="K32" s="99">
        <v>1543</v>
      </c>
      <c r="L32" s="99">
        <v>2927</v>
      </c>
      <c r="M32" s="99">
        <v>1199</v>
      </c>
      <c r="N32" s="99">
        <v>637</v>
      </c>
      <c r="O32" s="99">
        <v>183</v>
      </c>
      <c r="P32" s="159">
        <v>183</v>
      </c>
      <c r="Q32" s="99">
        <v>44</v>
      </c>
      <c r="R32" s="99">
        <v>90</v>
      </c>
      <c r="S32" s="99">
        <v>29</v>
      </c>
      <c r="T32" s="99">
        <v>34</v>
      </c>
      <c r="U32" s="99">
        <v>16</v>
      </c>
      <c r="V32" s="99">
        <v>34</v>
      </c>
      <c r="W32" s="99">
        <v>88</v>
      </c>
      <c r="X32" s="99">
        <v>28</v>
      </c>
      <c r="Y32" s="99">
        <v>168</v>
      </c>
      <c r="Z32" s="99">
        <v>98</v>
      </c>
      <c r="AA32" s="99" t="s">
        <v>597</v>
      </c>
      <c r="AB32" s="99" t="s">
        <v>597</v>
      </c>
      <c r="AC32" s="99" t="s">
        <v>597</v>
      </c>
      <c r="AD32" s="98" t="s">
        <v>345</v>
      </c>
      <c r="AE32" s="100">
        <v>0.17376928728875826</v>
      </c>
      <c r="AF32" s="100">
        <v>0.11</v>
      </c>
      <c r="AG32" s="98">
        <v>434.7293656625031</v>
      </c>
      <c r="AH32" s="98">
        <v>275.5326965466569</v>
      </c>
      <c r="AI32" s="100">
        <v>0.02</v>
      </c>
      <c r="AJ32" s="100">
        <v>0.773992</v>
      </c>
      <c r="AK32" s="100">
        <v>0.774987</v>
      </c>
      <c r="AL32" s="100">
        <v>0.732299</v>
      </c>
      <c r="AM32" s="100">
        <v>0.595924</v>
      </c>
      <c r="AN32" s="100">
        <v>0.609569</v>
      </c>
      <c r="AO32" s="98">
        <v>1120.4996326230712</v>
      </c>
      <c r="AP32" s="158">
        <v>0.5878287888</v>
      </c>
      <c r="AQ32" s="100">
        <v>0.24043715846994534</v>
      </c>
      <c r="AR32" s="100">
        <v>0.4888888888888889</v>
      </c>
      <c r="AS32" s="98">
        <v>177.56551555228998</v>
      </c>
      <c r="AT32" s="98">
        <v>208.18025961302965</v>
      </c>
      <c r="AU32" s="98">
        <v>97.96718099436688</v>
      </c>
      <c r="AV32" s="98">
        <v>208.18025961302965</v>
      </c>
      <c r="AW32" s="98">
        <v>538.8194954690179</v>
      </c>
      <c r="AX32" s="98">
        <v>171.44256674014204</v>
      </c>
      <c r="AY32" s="98">
        <v>1028.6554004408524</v>
      </c>
      <c r="AZ32" s="98">
        <v>600.0489835904972</v>
      </c>
      <c r="BA32" s="100" t="s">
        <v>597</v>
      </c>
      <c r="BB32" s="100" t="s">
        <v>597</v>
      </c>
      <c r="BC32" s="100" t="s">
        <v>597</v>
      </c>
      <c r="BD32" s="158">
        <v>0.5057434082000001</v>
      </c>
      <c r="BE32" s="158">
        <v>0.6794412994</v>
      </c>
      <c r="BF32" s="162">
        <v>2084</v>
      </c>
      <c r="BG32" s="162">
        <v>1991</v>
      </c>
      <c r="BH32" s="162">
        <v>3997</v>
      </c>
      <c r="BI32" s="162">
        <v>2012</v>
      </c>
      <c r="BJ32" s="162">
        <v>1045</v>
      </c>
      <c r="BK32" s="97"/>
      <c r="BL32" s="97"/>
      <c r="BM32" s="97"/>
      <c r="BN32" s="97"/>
    </row>
    <row r="33" spans="1:66" ht="12.75">
      <c r="A33" s="79" t="s">
        <v>555</v>
      </c>
      <c r="B33" s="79" t="s">
        <v>309</v>
      </c>
      <c r="C33" s="79" t="s">
        <v>266</v>
      </c>
      <c r="D33" s="99">
        <v>14512</v>
      </c>
      <c r="E33" s="99">
        <v>2677</v>
      </c>
      <c r="F33" s="99" t="s">
        <v>367</v>
      </c>
      <c r="G33" s="99">
        <v>80</v>
      </c>
      <c r="H33" s="99">
        <v>30</v>
      </c>
      <c r="I33" s="99">
        <v>254</v>
      </c>
      <c r="J33" s="99">
        <v>1542</v>
      </c>
      <c r="K33" s="99">
        <v>31</v>
      </c>
      <c r="L33" s="99">
        <v>2906</v>
      </c>
      <c r="M33" s="99">
        <v>1214</v>
      </c>
      <c r="N33" s="99">
        <v>626</v>
      </c>
      <c r="O33" s="99">
        <v>198</v>
      </c>
      <c r="P33" s="159">
        <v>198</v>
      </c>
      <c r="Q33" s="99">
        <v>37</v>
      </c>
      <c r="R33" s="99">
        <v>79</v>
      </c>
      <c r="S33" s="99">
        <v>41</v>
      </c>
      <c r="T33" s="99">
        <v>34</v>
      </c>
      <c r="U33" s="99" t="s">
        <v>597</v>
      </c>
      <c r="V33" s="99">
        <v>43</v>
      </c>
      <c r="W33" s="99">
        <v>50</v>
      </c>
      <c r="X33" s="99">
        <v>33</v>
      </c>
      <c r="Y33" s="99">
        <v>156</v>
      </c>
      <c r="Z33" s="99">
        <v>91</v>
      </c>
      <c r="AA33" s="99" t="s">
        <v>597</v>
      </c>
      <c r="AB33" s="99" t="s">
        <v>597</v>
      </c>
      <c r="AC33" s="99" t="s">
        <v>597</v>
      </c>
      <c r="AD33" s="98" t="s">
        <v>345</v>
      </c>
      <c r="AE33" s="100">
        <v>0.18446802646085997</v>
      </c>
      <c r="AF33" s="100">
        <v>0.07</v>
      </c>
      <c r="AG33" s="98">
        <v>551.2679162072767</v>
      </c>
      <c r="AH33" s="98">
        <v>206.72546857772878</v>
      </c>
      <c r="AI33" s="100">
        <v>0.018000000000000002</v>
      </c>
      <c r="AJ33" s="100">
        <v>0.737446</v>
      </c>
      <c r="AK33" s="100">
        <v>0.574074</v>
      </c>
      <c r="AL33" s="100">
        <v>0.775554</v>
      </c>
      <c r="AM33" s="100">
        <v>0.615931</v>
      </c>
      <c r="AN33" s="100">
        <v>0.646694</v>
      </c>
      <c r="AO33" s="98">
        <v>1364.38809261301</v>
      </c>
      <c r="AP33" s="158">
        <v>0.6718604279</v>
      </c>
      <c r="AQ33" s="100">
        <v>0.18686868686868688</v>
      </c>
      <c r="AR33" s="100">
        <v>0.46835443037974683</v>
      </c>
      <c r="AS33" s="98">
        <v>282.52480705622935</v>
      </c>
      <c r="AT33" s="98">
        <v>234.2888643880926</v>
      </c>
      <c r="AU33" s="98" t="s">
        <v>597</v>
      </c>
      <c r="AV33" s="98">
        <v>296.30650496141124</v>
      </c>
      <c r="AW33" s="98">
        <v>344.54244762954795</v>
      </c>
      <c r="AX33" s="98">
        <v>227.39801543550166</v>
      </c>
      <c r="AY33" s="98">
        <v>1074.9724366041896</v>
      </c>
      <c r="AZ33" s="98">
        <v>627.0672546857772</v>
      </c>
      <c r="BA33" s="100" t="s">
        <v>597</v>
      </c>
      <c r="BB33" s="100" t="s">
        <v>597</v>
      </c>
      <c r="BC33" s="100" t="s">
        <v>597</v>
      </c>
      <c r="BD33" s="158">
        <v>0.581532135</v>
      </c>
      <c r="BE33" s="158">
        <v>0.7722436523</v>
      </c>
      <c r="BF33" s="162">
        <v>2091</v>
      </c>
      <c r="BG33" s="162">
        <v>54</v>
      </c>
      <c r="BH33" s="162">
        <v>3747</v>
      </c>
      <c r="BI33" s="162">
        <v>1971</v>
      </c>
      <c r="BJ33" s="162">
        <v>968</v>
      </c>
      <c r="BK33" s="97"/>
      <c r="BL33" s="97"/>
      <c r="BM33" s="97"/>
      <c r="BN33" s="97"/>
    </row>
    <row r="34" spans="1:66" ht="12.75">
      <c r="A34" s="79" t="s">
        <v>567</v>
      </c>
      <c r="B34" s="79" t="s">
        <v>321</v>
      </c>
      <c r="C34" s="79" t="s">
        <v>266</v>
      </c>
      <c r="D34" s="99">
        <v>5596</v>
      </c>
      <c r="E34" s="99">
        <v>1055</v>
      </c>
      <c r="F34" s="99" t="s">
        <v>367</v>
      </c>
      <c r="G34" s="99">
        <v>27</v>
      </c>
      <c r="H34" s="99">
        <v>19</v>
      </c>
      <c r="I34" s="99">
        <v>122</v>
      </c>
      <c r="J34" s="99">
        <v>600</v>
      </c>
      <c r="K34" s="99">
        <v>10</v>
      </c>
      <c r="L34" s="99">
        <v>1128</v>
      </c>
      <c r="M34" s="99">
        <v>473</v>
      </c>
      <c r="N34" s="99">
        <v>251</v>
      </c>
      <c r="O34" s="99">
        <v>63</v>
      </c>
      <c r="P34" s="159">
        <v>63</v>
      </c>
      <c r="Q34" s="99">
        <v>11</v>
      </c>
      <c r="R34" s="99">
        <v>36</v>
      </c>
      <c r="S34" s="99">
        <v>22</v>
      </c>
      <c r="T34" s="99">
        <v>9</v>
      </c>
      <c r="U34" s="99" t="s">
        <v>597</v>
      </c>
      <c r="V34" s="99">
        <v>12</v>
      </c>
      <c r="W34" s="99">
        <v>19</v>
      </c>
      <c r="X34" s="99">
        <v>18</v>
      </c>
      <c r="Y34" s="99">
        <v>58</v>
      </c>
      <c r="Z34" s="99">
        <v>44</v>
      </c>
      <c r="AA34" s="99" t="s">
        <v>597</v>
      </c>
      <c r="AB34" s="99" t="s">
        <v>597</v>
      </c>
      <c r="AC34" s="99" t="s">
        <v>597</v>
      </c>
      <c r="AD34" s="98" t="s">
        <v>345</v>
      </c>
      <c r="AE34" s="100">
        <v>0.1885275196568978</v>
      </c>
      <c r="AF34" s="100">
        <v>0.07</v>
      </c>
      <c r="AG34" s="98">
        <v>482.48749106504647</v>
      </c>
      <c r="AH34" s="98">
        <v>339.52823445318086</v>
      </c>
      <c r="AI34" s="100">
        <v>0.022000000000000002</v>
      </c>
      <c r="AJ34" s="100">
        <v>0.705882</v>
      </c>
      <c r="AK34" s="100">
        <v>0.555556</v>
      </c>
      <c r="AL34" s="100">
        <v>0.817391</v>
      </c>
      <c r="AM34" s="100">
        <v>0.625661</v>
      </c>
      <c r="AN34" s="100">
        <v>0.653646</v>
      </c>
      <c r="AO34" s="98">
        <v>1125.8041458184418</v>
      </c>
      <c r="AP34" s="158">
        <v>0.5374887466</v>
      </c>
      <c r="AQ34" s="100">
        <v>0.1746031746031746</v>
      </c>
      <c r="AR34" s="100">
        <v>0.3055555555555556</v>
      </c>
      <c r="AS34" s="98">
        <v>393.13795568263043</v>
      </c>
      <c r="AT34" s="98">
        <v>160.8291636883488</v>
      </c>
      <c r="AU34" s="98" t="s">
        <v>597</v>
      </c>
      <c r="AV34" s="98">
        <v>214.43888491779842</v>
      </c>
      <c r="AW34" s="98">
        <v>339.52823445318086</v>
      </c>
      <c r="AX34" s="98">
        <v>321.6583273766976</v>
      </c>
      <c r="AY34" s="98">
        <v>1036.4546104360256</v>
      </c>
      <c r="AZ34" s="98">
        <v>786.2759113652609</v>
      </c>
      <c r="BA34" s="100" t="s">
        <v>597</v>
      </c>
      <c r="BB34" s="100" t="s">
        <v>597</v>
      </c>
      <c r="BC34" s="100" t="s">
        <v>597</v>
      </c>
      <c r="BD34" s="158">
        <v>0.4130211258</v>
      </c>
      <c r="BE34" s="158">
        <v>0.6876815796</v>
      </c>
      <c r="BF34" s="162">
        <v>850</v>
      </c>
      <c r="BG34" s="162">
        <v>18</v>
      </c>
      <c r="BH34" s="162">
        <v>1380</v>
      </c>
      <c r="BI34" s="162">
        <v>756</v>
      </c>
      <c r="BJ34" s="162">
        <v>384</v>
      </c>
      <c r="BK34" s="97"/>
      <c r="BL34" s="97"/>
      <c r="BM34" s="97"/>
      <c r="BN34" s="97"/>
    </row>
    <row r="35" spans="1:66" ht="12.75">
      <c r="A35" s="79" t="s">
        <v>552</v>
      </c>
      <c r="B35" s="79" t="s">
        <v>306</v>
      </c>
      <c r="C35" s="79" t="s">
        <v>266</v>
      </c>
      <c r="D35" s="99">
        <v>11828</v>
      </c>
      <c r="E35" s="99">
        <v>2280</v>
      </c>
      <c r="F35" s="99" t="s">
        <v>367</v>
      </c>
      <c r="G35" s="99">
        <v>53</v>
      </c>
      <c r="H35" s="99">
        <v>25</v>
      </c>
      <c r="I35" s="99">
        <v>249</v>
      </c>
      <c r="J35" s="99">
        <v>1198</v>
      </c>
      <c r="K35" s="99">
        <v>16</v>
      </c>
      <c r="L35" s="99">
        <v>2107</v>
      </c>
      <c r="M35" s="99">
        <v>864</v>
      </c>
      <c r="N35" s="99">
        <v>464</v>
      </c>
      <c r="O35" s="99">
        <v>218</v>
      </c>
      <c r="P35" s="159">
        <v>218</v>
      </c>
      <c r="Q35" s="99">
        <v>21</v>
      </c>
      <c r="R35" s="99">
        <v>57</v>
      </c>
      <c r="S35" s="99">
        <v>55</v>
      </c>
      <c r="T35" s="99">
        <v>36</v>
      </c>
      <c r="U35" s="99" t="s">
        <v>597</v>
      </c>
      <c r="V35" s="99">
        <v>28</v>
      </c>
      <c r="W35" s="99">
        <v>43</v>
      </c>
      <c r="X35" s="99">
        <v>24</v>
      </c>
      <c r="Y35" s="99">
        <v>110</v>
      </c>
      <c r="Z35" s="99">
        <v>54</v>
      </c>
      <c r="AA35" s="99" t="s">
        <v>597</v>
      </c>
      <c r="AB35" s="99" t="s">
        <v>597</v>
      </c>
      <c r="AC35" s="99" t="s">
        <v>597</v>
      </c>
      <c r="AD35" s="98" t="s">
        <v>345</v>
      </c>
      <c r="AE35" s="100">
        <v>0.1927629354075076</v>
      </c>
      <c r="AF35" s="100">
        <v>0.07</v>
      </c>
      <c r="AG35" s="98">
        <v>448.08927967534663</v>
      </c>
      <c r="AH35" s="98">
        <v>211.36286777138992</v>
      </c>
      <c r="AI35" s="100">
        <v>0.021</v>
      </c>
      <c r="AJ35" s="100">
        <v>0.753933</v>
      </c>
      <c r="AK35" s="100">
        <v>0.551724</v>
      </c>
      <c r="AL35" s="100">
        <v>0.760375</v>
      </c>
      <c r="AM35" s="100">
        <v>0.614947</v>
      </c>
      <c r="AN35" s="100">
        <v>0.631293</v>
      </c>
      <c r="AO35" s="98">
        <v>1843.08420696652</v>
      </c>
      <c r="AP35" s="158">
        <v>0.9210839844</v>
      </c>
      <c r="AQ35" s="100">
        <v>0.0963302752293578</v>
      </c>
      <c r="AR35" s="100">
        <v>0.3684210526315789</v>
      </c>
      <c r="AS35" s="98">
        <v>464.9983090970578</v>
      </c>
      <c r="AT35" s="98">
        <v>304.3625295908015</v>
      </c>
      <c r="AU35" s="98" t="s">
        <v>597</v>
      </c>
      <c r="AV35" s="98">
        <v>236.72641190395672</v>
      </c>
      <c r="AW35" s="98">
        <v>363.54413256679067</v>
      </c>
      <c r="AX35" s="98">
        <v>202.90835306053432</v>
      </c>
      <c r="AY35" s="98">
        <v>929.9966181941156</v>
      </c>
      <c r="AZ35" s="98">
        <v>456.54379438620225</v>
      </c>
      <c r="BA35" s="100" t="s">
        <v>597</v>
      </c>
      <c r="BB35" s="100" t="s">
        <v>597</v>
      </c>
      <c r="BC35" s="100" t="s">
        <v>597</v>
      </c>
      <c r="BD35" s="158">
        <v>0.8028639221</v>
      </c>
      <c r="BE35" s="158">
        <v>1.051810532</v>
      </c>
      <c r="BF35" s="162">
        <v>1589</v>
      </c>
      <c r="BG35" s="162">
        <v>29</v>
      </c>
      <c r="BH35" s="162">
        <v>2771</v>
      </c>
      <c r="BI35" s="162">
        <v>1405</v>
      </c>
      <c r="BJ35" s="162">
        <v>735</v>
      </c>
      <c r="BK35" s="97"/>
      <c r="BL35" s="97"/>
      <c r="BM35" s="97"/>
      <c r="BN35" s="97"/>
    </row>
    <row r="36" spans="1:66" ht="12.75">
      <c r="A36" s="79" t="s">
        <v>569</v>
      </c>
      <c r="B36" s="79" t="s">
        <v>323</v>
      </c>
      <c r="C36" s="79" t="s">
        <v>266</v>
      </c>
      <c r="D36" s="99">
        <v>4206</v>
      </c>
      <c r="E36" s="99">
        <v>1140</v>
      </c>
      <c r="F36" s="99" t="s">
        <v>366</v>
      </c>
      <c r="G36" s="99">
        <v>30</v>
      </c>
      <c r="H36" s="99">
        <v>8</v>
      </c>
      <c r="I36" s="99">
        <v>100</v>
      </c>
      <c r="J36" s="99">
        <v>503</v>
      </c>
      <c r="K36" s="99">
        <v>163</v>
      </c>
      <c r="L36" s="99">
        <v>799</v>
      </c>
      <c r="M36" s="99">
        <v>434</v>
      </c>
      <c r="N36" s="99">
        <v>232</v>
      </c>
      <c r="O36" s="99">
        <v>81</v>
      </c>
      <c r="P36" s="159">
        <v>81</v>
      </c>
      <c r="Q36" s="99">
        <v>16</v>
      </c>
      <c r="R36" s="99">
        <v>32</v>
      </c>
      <c r="S36" s="99">
        <v>15</v>
      </c>
      <c r="T36" s="99">
        <v>13</v>
      </c>
      <c r="U36" s="99" t="s">
        <v>597</v>
      </c>
      <c r="V36" s="99">
        <v>24</v>
      </c>
      <c r="W36" s="99">
        <v>12</v>
      </c>
      <c r="X36" s="99">
        <v>20</v>
      </c>
      <c r="Y36" s="99">
        <v>46</v>
      </c>
      <c r="Z36" s="99">
        <v>29</v>
      </c>
      <c r="AA36" s="99" t="s">
        <v>597</v>
      </c>
      <c r="AB36" s="99" t="s">
        <v>597</v>
      </c>
      <c r="AC36" s="99" t="s">
        <v>597</v>
      </c>
      <c r="AD36" s="98" t="s">
        <v>345</v>
      </c>
      <c r="AE36" s="100">
        <v>0.2710413694721826</v>
      </c>
      <c r="AF36" s="100">
        <v>0.09</v>
      </c>
      <c r="AG36" s="98">
        <v>713.2667617689016</v>
      </c>
      <c r="AH36" s="98">
        <v>190.20446980504042</v>
      </c>
      <c r="AI36" s="100">
        <v>0.024</v>
      </c>
      <c r="AJ36" s="100">
        <v>0.733236</v>
      </c>
      <c r="AK36" s="100">
        <v>0.827411</v>
      </c>
      <c r="AL36" s="100">
        <v>0.831426</v>
      </c>
      <c r="AM36" s="100">
        <v>0.642963</v>
      </c>
      <c r="AN36" s="100">
        <v>0.674419</v>
      </c>
      <c r="AO36" s="98">
        <v>1925.8202567760343</v>
      </c>
      <c r="AP36" s="158">
        <v>0.7932061767999999</v>
      </c>
      <c r="AQ36" s="100">
        <v>0.19753086419753085</v>
      </c>
      <c r="AR36" s="100">
        <v>0.5</v>
      </c>
      <c r="AS36" s="98">
        <v>356.6333808844508</v>
      </c>
      <c r="AT36" s="98">
        <v>309.0822634331907</v>
      </c>
      <c r="AU36" s="98" t="s">
        <v>597</v>
      </c>
      <c r="AV36" s="98">
        <v>570.6134094151213</v>
      </c>
      <c r="AW36" s="98">
        <v>285.30670470756064</v>
      </c>
      <c r="AX36" s="98">
        <v>475.51117451260103</v>
      </c>
      <c r="AY36" s="98">
        <v>1093.6757013789825</v>
      </c>
      <c r="AZ36" s="98">
        <v>689.4912030432715</v>
      </c>
      <c r="BA36" s="100" t="s">
        <v>597</v>
      </c>
      <c r="BB36" s="100" t="s">
        <v>597</v>
      </c>
      <c r="BC36" s="100" t="s">
        <v>597</v>
      </c>
      <c r="BD36" s="158">
        <v>0.6299201965000001</v>
      </c>
      <c r="BE36" s="158">
        <v>0.9858827972</v>
      </c>
      <c r="BF36" s="162">
        <v>686</v>
      </c>
      <c r="BG36" s="162">
        <v>197</v>
      </c>
      <c r="BH36" s="162">
        <v>961</v>
      </c>
      <c r="BI36" s="162">
        <v>675</v>
      </c>
      <c r="BJ36" s="162">
        <v>344</v>
      </c>
      <c r="BK36" s="97"/>
      <c r="BL36" s="97"/>
      <c r="BM36" s="97"/>
      <c r="BN36" s="97"/>
    </row>
    <row r="37" spans="1:66" ht="12.75">
      <c r="A37" s="79" t="s">
        <v>566</v>
      </c>
      <c r="B37" s="79" t="s">
        <v>320</v>
      </c>
      <c r="C37" s="79" t="s">
        <v>266</v>
      </c>
      <c r="D37" s="99">
        <v>8542</v>
      </c>
      <c r="E37" s="99">
        <v>1355</v>
      </c>
      <c r="F37" s="99" t="s">
        <v>367</v>
      </c>
      <c r="G37" s="99">
        <v>29</v>
      </c>
      <c r="H37" s="99">
        <v>16</v>
      </c>
      <c r="I37" s="99">
        <v>112</v>
      </c>
      <c r="J37" s="99">
        <v>1012</v>
      </c>
      <c r="K37" s="99">
        <v>643</v>
      </c>
      <c r="L37" s="99">
        <v>1893</v>
      </c>
      <c r="M37" s="99">
        <v>629</v>
      </c>
      <c r="N37" s="99">
        <v>326</v>
      </c>
      <c r="O37" s="99">
        <v>137</v>
      </c>
      <c r="P37" s="159">
        <v>137</v>
      </c>
      <c r="Q37" s="99">
        <v>13</v>
      </c>
      <c r="R37" s="99">
        <v>42</v>
      </c>
      <c r="S37" s="99">
        <v>21</v>
      </c>
      <c r="T37" s="99">
        <v>12</v>
      </c>
      <c r="U37" s="99" t="s">
        <v>597</v>
      </c>
      <c r="V37" s="99">
        <v>37</v>
      </c>
      <c r="W37" s="99">
        <v>32</v>
      </c>
      <c r="X37" s="99">
        <v>18</v>
      </c>
      <c r="Y37" s="99">
        <v>79</v>
      </c>
      <c r="Z37" s="99">
        <v>46</v>
      </c>
      <c r="AA37" s="99" t="s">
        <v>597</v>
      </c>
      <c r="AB37" s="99" t="s">
        <v>597</v>
      </c>
      <c r="AC37" s="99" t="s">
        <v>597</v>
      </c>
      <c r="AD37" s="98" t="s">
        <v>345</v>
      </c>
      <c r="AE37" s="100">
        <v>0.15862795598220558</v>
      </c>
      <c r="AF37" s="100">
        <v>0.07</v>
      </c>
      <c r="AG37" s="98">
        <v>339.4989463825802</v>
      </c>
      <c r="AH37" s="98">
        <v>187.30976352142355</v>
      </c>
      <c r="AI37" s="100">
        <v>0.013000000000000001</v>
      </c>
      <c r="AJ37" s="100">
        <v>0.806375</v>
      </c>
      <c r="AK37" s="100">
        <v>0.774699</v>
      </c>
      <c r="AL37" s="100">
        <v>0.801779</v>
      </c>
      <c r="AM37" s="100">
        <v>0.581869</v>
      </c>
      <c r="AN37" s="100">
        <v>0.603704</v>
      </c>
      <c r="AO37" s="98">
        <v>1603.8398501521892</v>
      </c>
      <c r="AP37" s="158">
        <v>0.8150939941</v>
      </c>
      <c r="AQ37" s="100">
        <v>0.0948905109489051</v>
      </c>
      <c r="AR37" s="100">
        <v>0.30952380952380953</v>
      </c>
      <c r="AS37" s="98">
        <v>245.84406462186843</v>
      </c>
      <c r="AT37" s="98">
        <v>140.48232264106767</v>
      </c>
      <c r="AU37" s="98" t="s">
        <v>597</v>
      </c>
      <c r="AV37" s="98">
        <v>433.15382814329195</v>
      </c>
      <c r="AW37" s="98">
        <v>374.6195270428471</v>
      </c>
      <c r="AX37" s="98">
        <v>210.7234839616015</v>
      </c>
      <c r="AY37" s="98">
        <v>924.8419573870287</v>
      </c>
      <c r="AZ37" s="98">
        <v>538.5155701240927</v>
      </c>
      <c r="BA37" s="100" t="s">
        <v>597</v>
      </c>
      <c r="BB37" s="100" t="s">
        <v>597</v>
      </c>
      <c r="BC37" s="100" t="s">
        <v>597</v>
      </c>
      <c r="BD37" s="158">
        <v>0.6843251801</v>
      </c>
      <c r="BE37" s="158">
        <v>0.9635744476000001</v>
      </c>
      <c r="BF37" s="162">
        <v>1255</v>
      </c>
      <c r="BG37" s="162">
        <v>830</v>
      </c>
      <c r="BH37" s="162">
        <v>2361</v>
      </c>
      <c r="BI37" s="162">
        <v>1081</v>
      </c>
      <c r="BJ37" s="162">
        <v>540</v>
      </c>
      <c r="BK37" s="97"/>
      <c r="BL37" s="97"/>
      <c r="BM37" s="97"/>
      <c r="BN37" s="97"/>
    </row>
    <row r="38" spans="1:66" ht="12.75">
      <c r="A38" s="79" t="s">
        <v>538</v>
      </c>
      <c r="B38" s="79" t="s">
        <v>292</v>
      </c>
      <c r="C38" s="79" t="s">
        <v>266</v>
      </c>
      <c r="D38" s="99">
        <v>6071</v>
      </c>
      <c r="E38" s="99">
        <v>994</v>
      </c>
      <c r="F38" s="99" t="s">
        <v>366</v>
      </c>
      <c r="G38" s="99">
        <v>26</v>
      </c>
      <c r="H38" s="99">
        <v>21</v>
      </c>
      <c r="I38" s="99">
        <v>92</v>
      </c>
      <c r="J38" s="99">
        <v>487</v>
      </c>
      <c r="K38" s="99">
        <v>10</v>
      </c>
      <c r="L38" s="99">
        <v>1173</v>
      </c>
      <c r="M38" s="99">
        <v>342</v>
      </c>
      <c r="N38" s="99">
        <v>177</v>
      </c>
      <c r="O38" s="99">
        <v>144</v>
      </c>
      <c r="P38" s="159">
        <v>144</v>
      </c>
      <c r="Q38" s="99">
        <v>18</v>
      </c>
      <c r="R38" s="99">
        <v>27</v>
      </c>
      <c r="S38" s="99">
        <v>36</v>
      </c>
      <c r="T38" s="99">
        <v>18</v>
      </c>
      <c r="U38" s="99">
        <v>6</v>
      </c>
      <c r="V38" s="99">
        <v>49</v>
      </c>
      <c r="W38" s="99">
        <v>32</v>
      </c>
      <c r="X38" s="99">
        <v>43</v>
      </c>
      <c r="Y38" s="99">
        <v>57</v>
      </c>
      <c r="Z38" s="99">
        <v>47</v>
      </c>
      <c r="AA38" s="99" t="s">
        <v>597</v>
      </c>
      <c r="AB38" s="99" t="s">
        <v>597</v>
      </c>
      <c r="AC38" s="99" t="s">
        <v>597</v>
      </c>
      <c r="AD38" s="98" t="s">
        <v>345</v>
      </c>
      <c r="AE38" s="100">
        <v>0.16372920441442926</v>
      </c>
      <c r="AF38" s="100">
        <v>0.09</v>
      </c>
      <c r="AG38" s="98">
        <v>428.2655246252677</v>
      </c>
      <c r="AH38" s="98">
        <v>345.9067698896393</v>
      </c>
      <c r="AI38" s="100">
        <v>0.015</v>
      </c>
      <c r="AJ38" s="100">
        <v>0.684951</v>
      </c>
      <c r="AK38" s="100">
        <v>0.625</v>
      </c>
      <c r="AL38" s="100">
        <v>0.744289</v>
      </c>
      <c r="AM38" s="100">
        <v>0.571906</v>
      </c>
      <c r="AN38" s="100">
        <v>0.606164</v>
      </c>
      <c r="AO38" s="98">
        <v>2371.9321363860977</v>
      </c>
      <c r="AP38" s="158">
        <v>1.249812469</v>
      </c>
      <c r="AQ38" s="100">
        <v>0.125</v>
      </c>
      <c r="AR38" s="100">
        <v>0.6666666666666666</v>
      </c>
      <c r="AS38" s="98">
        <v>592.9830340965244</v>
      </c>
      <c r="AT38" s="98">
        <v>296.4915170482622</v>
      </c>
      <c r="AU38" s="98">
        <v>98.83050568275408</v>
      </c>
      <c r="AV38" s="98">
        <v>807.1157964091583</v>
      </c>
      <c r="AW38" s="98">
        <v>527.0960303080218</v>
      </c>
      <c r="AX38" s="98">
        <v>708.2852907264042</v>
      </c>
      <c r="AY38" s="98">
        <v>938.8898039861638</v>
      </c>
      <c r="AZ38" s="98">
        <v>774.172294514907</v>
      </c>
      <c r="BA38" s="100" t="s">
        <v>597</v>
      </c>
      <c r="BB38" s="100" t="s">
        <v>597</v>
      </c>
      <c r="BC38" s="100" t="s">
        <v>597</v>
      </c>
      <c r="BD38" s="158">
        <v>1.054020844</v>
      </c>
      <c r="BE38" s="158">
        <v>1.471424255</v>
      </c>
      <c r="BF38" s="162">
        <v>711</v>
      </c>
      <c r="BG38" s="162">
        <v>16</v>
      </c>
      <c r="BH38" s="162">
        <v>1576</v>
      </c>
      <c r="BI38" s="162">
        <v>598</v>
      </c>
      <c r="BJ38" s="162">
        <v>292</v>
      </c>
      <c r="BK38" s="97"/>
      <c r="BL38" s="97"/>
      <c r="BM38" s="97"/>
      <c r="BN38" s="97"/>
    </row>
    <row r="39" spans="1:66" ht="12.75">
      <c r="A39" s="79" t="s">
        <v>553</v>
      </c>
      <c r="B39" s="79" t="s">
        <v>307</v>
      </c>
      <c r="C39" s="79" t="s">
        <v>266</v>
      </c>
      <c r="D39" s="99">
        <v>10400</v>
      </c>
      <c r="E39" s="99">
        <v>1939</v>
      </c>
      <c r="F39" s="99" t="s">
        <v>366</v>
      </c>
      <c r="G39" s="99">
        <v>55</v>
      </c>
      <c r="H39" s="99">
        <v>26</v>
      </c>
      <c r="I39" s="99">
        <v>198</v>
      </c>
      <c r="J39" s="99">
        <v>987</v>
      </c>
      <c r="K39" s="99">
        <v>16</v>
      </c>
      <c r="L39" s="99">
        <v>1822</v>
      </c>
      <c r="M39" s="99">
        <v>723</v>
      </c>
      <c r="N39" s="99">
        <v>381</v>
      </c>
      <c r="O39" s="99">
        <v>237</v>
      </c>
      <c r="P39" s="159">
        <v>237</v>
      </c>
      <c r="Q39" s="99">
        <v>19</v>
      </c>
      <c r="R39" s="99">
        <v>49</v>
      </c>
      <c r="S39" s="99">
        <v>56</v>
      </c>
      <c r="T39" s="99">
        <v>37</v>
      </c>
      <c r="U39" s="99">
        <v>7</v>
      </c>
      <c r="V39" s="99">
        <v>41</v>
      </c>
      <c r="W39" s="99">
        <v>42</v>
      </c>
      <c r="X39" s="99">
        <v>20</v>
      </c>
      <c r="Y39" s="99">
        <v>120</v>
      </c>
      <c r="Z39" s="99">
        <v>70</v>
      </c>
      <c r="AA39" s="99" t="s">
        <v>597</v>
      </c>
      <c r="AB39" s="99" t="s">
        <v>597</v>
      </c>
      <c r="AC39" s="99" t="s">
        <v>597</v>
      </c>
      <c r="AD39" s="98" t="s">
        <v>345</v>
      </c>
      <c r="AE39" s="100">
        <v>0.18644230769230768</v>
      </c>
      <c r="AF39" s="100">
        <v>0.11</v>
      </c>
      <c r="AG39" s="98">
        <v>528.8461538461538</v>
      </c>
      <c r="AH39" s="98">
        <v>250</v>
      </c>
      <c r="AI39" s="100">
        <v>0.019</v>
      </c>
      <c r="AJ39" s="100">
        <v>0.718341</v>
      </c>
      <c r="AK39" s="100">
        <v>0.727273</v>
      </c>
      <c r="AL39" s="100">
        <v>0.737951</v>
      </c>
      <c r="AM39" s="100">
        <v>0.554023</v>
      </c>
      <c r="AN39" s="100">
        <v>0.597179</v>
      </c>
      <c r="AO39" s="98">
        <v>2278.846153846154</v>
      </c>
      <c r="AP39" s="158">
        <v>1.154658051</v>
      </c>
      <c r="AQ39" s="100">
        <v>0.08016877637130802</v>
      </c>
      <c r="AR39" s="100">
        <v>0.3877551020408163</v>
      </c>
      <c r="AS39" s="98">
        <v>538.4615384615385</v>
      </c>
      <c r="AT39" s="98">
        <v>355.7692307692308</v>
      </c>
      <c r="AU39" s="98">
        <v>67.3076923076923</v>
      </c>
      <c r="AV39" s="98">
        <v>394.2307692307692</v>
      </c>
      <c r="AW39" s="98">
        <v>403.84615384615387</v>
      </c>
      <c r="AX39" s="98">
        <v>192.30769230769232</v>
      </c>
      <c r="AY39" s="98">
        <v>1153.8461538461538</v>
      </c>
      <c r="AZ39" s="98">
        <v>673.0769230769231</v>
      </c>
      <c r="BA39" s="100" t="s">
        <v>597</v>
      </c>
      <c r="BB39" s="100" t="s">
        <v>597</v>
      </c>
      <c r="BC39" s="100" t="s">
        <v>597</v>
      </c>
      <c r="BD39" s="158">
        <v>1.012322159</v>
      </c>
      <c r="BE39" s="158">
        <v>1.3114019780000001</v>
      </c>
      <c r="BF39" s="162">
        <v>1374</v>
      </c>
      <c r="BG39" s="162">
        <v>22</v>
      </c>
      <c r="BH39" s="162">
        <v>2469</v>
      </c>
      <c r="BI39" s="162">
        <v>1305</v>
      </c>
      <c r="BJ39" s="162">
        <v>638</v>
      </c>
      <c r="BK39" s="97"/>
      <c r="BL39" s="97"/>
      <c r="BM39" s="97"/>
      <c r="BN39" s="97"/>
    </row>
    <row r="40" spans="1:66" ht="12.75">
      <c r="A40" s="79" t="s">
        <v>542</v>
      </c>
      <c r="B40" s="79" t="s">
        <v>296</v>
      </c>
      <c r="C40" s="79" t="s">
        <v>266</v>
      </c>
      <c r="D40" s="99">
        <v>6747</v>
      </c>
      <c r="E40" s="99">
        <v>1671</v>
      </c>
      <c r="F40" s="99" t="s">
        <v>367</v>
      </c>
      <c r="G40" s="99">
        <v>56</v>
      </c>
      <c r="H40" s="99">
        <v>24</v>
      </c>
      <c r="I40" s="99">
        <v>116</v>
      </c>
      <c r="J40" s="99">
        <v>857</v>
      </c>
      <c r="K40" s="99">
        <v>484</v>
      </c>
      <c r="L40" s="99">
        <v>1227</v>
      </c>
      <c r="M40" s="99">
        <v>589</v>
      </c>
      <c r="N40" s="99">
        <v>308</v>
      </c>
      <c r="O40" s="99">
        <v>149</v>
      </c>
      <c r="P40" s="159">
        <v>149</v>
      </c>
      <c r="Q40" s="99">
        <v>21</v>
      </c>
      <c r="R40" s="99">
        <v>48</v>
      </c>
      <c r="S40" s="99">
        <v>23</v>
      </c>
      <c r="T40" s="99">
        <v>28</v>
      </c>
      <c r="U40" s="99" t="s">
        <v>597</v>
      </c>
      <c r="V40" s="99">
        <v>44</v>
      </c>
      <c r="W40" s="99">
        <v>35</v>
      </c>
      <c r="X40" s="99">
        <v>43</v>
      </c>
      <c r="Y40" s="99">
        <v>94</v>
      </c>
      <c r="Z40" s="99">
        <v>63</v>
      </c>
      <c r="AA40" s="99" t="s">
        <v>597</v>
      </c>
      <c r="AB40" s="99" t="s">
        <v>597</v>
      </c>
      <c r="AC40" s="99" t="s">
        <v>597</v>
      </c>
      <c r="AD40" s="98" t="s">
        <v>345</v>
      </c>
      <c r="AE40" s="100">
        <v>0.24766562916851934</v>
      </c>
      <c r="AF40" s="100">
        <v>0.07</v>
      </c>
      <c r="AG40" s="98">
        <v>829.9985178597896</v>
      </c>
      <c r="AH40" s="98">
        <v>355.71365051133836</v>
      </c>
      <c r="AI40" s="100">
        <v>0.017</v>
      </c>
      <c r="AJ40" s="100">
        <v>0.793519</v>
      </c>
      <c r="AK40" s="100">
        <v>0.75507</v>
      </c>
      <c r="AL40" s="100">
        <v>0.754149</v>
      </c>
      <c r="AM40" s="100">
        <v>0.588412</v>
      </c>
      <c r="AN40" s="100">
        <v>0.627291</v>
      </c>
      <c r="AO40" s="98">
        <v>2208.388913591226</v>
      </c>
      <c r="AP40" s="158">
        <v>0.9490398407</v>
      </c>
      <c r="AQ40" s="100">
        <v>0.14093959731543623</v>
      </c>
      <c r="AR40" s="100">
        <v>0.4375</v>
      </c>
      <c r="AS40" s="98">
        <v>340.89224840669925</v>
      </c>
      <c r="AT40" s="98">
        <v>414.9992589298948</v>
      </c>
      <c r="AU40" s="98" t="s">
        <v>597</v>
      </c>
      <c r="AV40" s="98">
        <v>652.1416926041203</v>
      </c>
      <c r="AW40" s="98">
        <v>518.7490736623685</v>
      </c>
      <c r="AX40" s="98">
        <v>637.3202904994813</v>
      </c>
      <c r="AY40" s="98">
        <v>1393.2117978360752</v>
      </c>
      <c r="AZ40" s="98">
        <v>933.7483325922632</v>
      </c>
      <c r="BA40" s="100" t="s">
        <v>597</v>
      </c>
      <c r="BB40" s="100" t="s">
        <v>597</v>
      </c>
      <c r="BC40" s="100" t="s">
        <v>597</v>
      </c>
      <c r="BD40" s="158">
        <v>0.8027753448</v>
      </c>
      <c r="BE40" s="158">
        <v>1.114244308</v>
      </c>
      <c r="BF40" s="162">
        <v>1080</v>
      </c>
      <c r="BG40" s="162">
        <v>641</v>
      </c>
      <c r="BH40" s="162">
        <v>1627</v>
      </c>
      <c r="BI40" s="162">
        <v>1001</v>
      </c>
      <c r="BJ40" s="162">
        <v>491</v>
      </c>
      <c r="BK40" s="97"/>
      <c r="BL40" s="97"/>
      <c r="BM40" s="97"/>
      <c r="BN40" s="97"/>
    </row>
    <row r="41" spans="1:66" ht="12.75">
      <c r="A41" s="79" t="s">
        <v>575</v>
      </c>
      <c r="B41" s="79" t="s">
        <v>329</v>
      </c>
      <c r="C41" s="79" t="s">
        <v>266</v>
      </c>
      <c r="D41" s="99">
        <v>3194</v>
      </c>
      <c r="E41" s="99">
        <v>608</v>
      </c>
      <c r="F41" s="99" t="s">
        <v>367</v>
      </c>
      <c r="G41" s="99">
        <v>23</v>
      </c>
      <c r="H41" s="99" t="s">
        <v>597</v>
      </c>
      <c r="I41" s="99">
        <v>33</v>
      </c>
      <c r="J41" s="99">
        <v>340</v>
      </c>
      <c r="K41" s="99" t="s">
        <v>597</v>
      </c>
      <c r="L41" s="99">
        <v>683</v>
      </c>
      <c r="M41" s="99">
        <v>223</v>
      </c>
      <c r="N41" s="99">
        <v>105</v>
      </c>
      <c r="O41" s="99">
        <v>53</v>
      </c>
      <c r="P41" s="159">
        <v>53</v>
      </c>
      <c r="Q41" s="99">
        <v>8</v>
      </c>
      <c r="R41" s="99">
        <v>17</v>
      </c>
      <c r="S41" s="99">
        <v>8</v>
      </c>
      <c r="T41" s="99">
        <v>9</v>
      </c>
      <c r="U41" s="99" t="s">
        <v>597</v>
      </c>
      <c r="V41" s="99">
        <v>19</v>
      </c>
      <c r="W41" s="99">
        <v>14</v>
      </c>
      <c r="X41" s="99">
        <v>15</v>
      </c>
      <c r="Y41" s="99">
        <v>19</v>
      </c>
      <c r="Z41" s="99">
        <v>11</v>
      </c>
      <c r="AA41" s="99" t="s">
        <v>597</v>
      </c>
      <c r="AB41" s="99" t="s">
        <v>597</v>
      </c>
      <c r="AC41" s="99" t="s">
        <v>597</v>
      </c>
      <c r="AD41" s="98" t="s">
        <v>345</v>
      </c>
      <c r="AE41" s="100">
        <v>0.19035691922354414</v>
      </c>
      <c r="AF41" s="100">
        <v>0.07</v>
      </c>
      <c r="AG41" s="98">
        <v>720.1001878522229</v>
      </c>
      <c r="AH41" s="98" t="s">
        <v>597</v>
      </c>
      <c r="AI41" s="100">
        <v>0.01</v>
      </c>
      <c r="AJ41" s="100">
        <v>0.742358</v>
      </c>
      <c r="AK41" s="100" t="s">
        <v>597</v>
      </c>
      <c r="AL41" s="100">
        <v>0.81601</v>
      </c>
      <c r="AM41" s="100">
        <v>0.582245</v>
      </c>
      <c r="AN41" s="100">
        <v>0.583333</v>
      </c>
      <c r="AO41" s="98">
        <v>1659.3613024420788</v>
      </c>
      <c r="AP41" s="158">
        <v>0.7878019714</v>
      </c>
      <c r="AQ41" s="100">
        <v>0.1509433962264151</v>
      </c>
      <c r="AR41" s="100">
        <v>0.47058823529411764</v>
      </c>
      <c r="AS41" s="98">
        <v>250.46963055729492</v>
      </c>
      <c r="AT41" s="98">
        <v>281.7783343769568</v>
      </c>
      <c r="AU41" s="98" t="s">
        <v>597</v>
      </c>
      <c r="AV41" s="98">
        <v>594.8653725735754</v>
      </c>
      <c r="AW41" s="98">
        <v>438.3218534752661</v>
      </c>
      <c r="AX41" s="98">
        <v>469.630557294928</v>
      </c>
      <c r="AY41" s="98">
        <v>594.8653725735754</v>
      </c>
      <c r="AZ41" s="98">
        <v>344.3957420162805</v>
      </c>
      <c r="BA41" s="100" t="s">
        <v>597</v>
      </c>
      <c r="BB41" s="100" t="s">
        <v>597</v>
      </c>
      <c r="BC41" s="100" t="s">
        <v>597</v>
      </c>
      <c r="BD41" s="158">
        <v>0.5901177597</v>
      </c>
      <c r="BE41" s="158">
        <v>1.030464401</v>
      </c>
      <c r="BF41" s="162">
        <v>458</v>
      </c>
      <c r="BG41" s="162" t="s">
        <v>597</v>
      </c>
      <c r="BH41" s="162">
        <v>837</v>
      </c>
      <c r="BI41" s="162">
        <v>383</v>
      </c>
      <c r="BJ41" s="162">
        <v>180</v>
      </c>
      <c r="BK41" s="97"/>
      <c r="BL41" s="97"/>
      <c r="BM41" s="97"/>
      <c r="BN41" s="97"/>
    </row>
    <row r="42" spans="1:66" ht="12.75">
      <c r="A42" s="79" t="s">
        <v>563</v>
      </c>
      <c r="B42" s="79" t="s">
        <v>317</v>
      </c>
      <c r="C42" s="79" t="s">
        <v>266</v>
      </c>
      <c r="D42" s="99">
        <v>6387</v>
      </c>
      <c r="E42" s="99">
        <v>900</v>
      </c>
      <c r="F42" s="99" t="s">
        <v>366</v>
      </c>
      <c r="G42" s="99">
        <v>17</v>
      </c>
      <c r="H42" s="99">
        <v>11</v>
      </c>
      <c r="I42" s="99">
        <v>94</v>
      </c>
      <c r="J42" s="99">
        <v>552</v>
      </c>
      <c r="K42" s="99">
        <v>10</v>
      </c>
      <c r="L42" s="99">
        <v>1258</v>
      </c>
      <c r="M42" s="99">
        <v>378</v>
      </c>
      <c r="N42" s="99">
        <v>203</v>
      </c>
      <c r="O42" s="99">
        <v>78</v>
      </c>
      <c r="P42" s="159">
        <v>78</v>
      </c>
      <c r="Q42" s="99">
        <v>11</v>
      </c>
      <c r="R42" s="99">
        <v>23</v>
      </c>
      <c r="S42" s="99">
        <v>20</v>
      </c>
      <c r="T42" s="99">
        <v>12</v>
      </c>
      <c r="U42" s="99" t="s">
        <v>597</v>
      </c>
      <c r="V42" s="99">
        <v>12</v>
      </c>
      <c r="W42" s="99">
        <v>19</v>
      </c>
      <c r="X42" s="99">
        <v>15</v>
      </c>
      <c r="Y42" s="99">
        <v>45</v>
      </c>
      <c r="Z42" s="99">
        <v>20</v>
      </c>
      <c r="AA42" s="99" t="s">
        <v>597</v>
      </c>
      <c r="AB42" s="99" t="s">
        <v>597</v>
      </c>
      <c r="AC42" s="99" t="s">
        <v>597</v>
      </c>
      <c r="AD42" s="98" t="s">
        <v>345</v>
      </c>
      <c r="AE42" s="100">
        <v>0.14091122592766558</v>
      </c>
      <c r="AF42" s="100">
        <v>0.1</v>
      </c>
      <c r="AG42" s="98">
        <v>266.16564897447944</v>
      </c>
      <c r="AH42" s="98">
        <v>172.22483168936904</v>
      </c>
      <c r="AI42" s="100">
        <v>0.015</v>
      </c>
      <c r="AJ42" s="100">
        <v>0.695214</v>
      </c>
      <c r="AK42" s="100">
        <v>0.625</v>
      </c>
      <c r="AL42" s="100">
        <v>0.784289</v>
      </c>
      <c r="AM42" s="100">
        <v>0.565022</v>
      </c>
      <c r="AN42" s="100">
        <v>0.568627</v>
      </c>
      <c r="AO42" s="98">
        <v>1221.230624706435</v>
      </c>
      <c r="AP42" s="158">
        <v>0.6886676788</v>
      </c>
      <c r="AQ42" s="100">
        <v>0.14102564102564102</v>
      </c>
      <c r="AR42" s="100">
        <v>0.4782608695652174</v>
      </c>
      <c r="AS42" s="98">
        <v>313.1360576170346</v>
      </c>
      <c r="AT42" s="98">
        <v>187.88163457022077</v>
      </c>
      <c r="AU42" s="98" t="s">
        <v>597</v>
      </c>
      <c r="AV42" s="98">
        <v>187.88163457022077</v>
      </c>
      <c r="AW42" s="98">
        <v>297.4792547361829</v>
      </c>
      <c r="AX42" s="98">
        <v>234.85204321277595</v>
      </c>
      <c r="AY42" s="98">
        <v>704.5561296383279</v>
      </c>
      <c r="AZ42" s="98">
        <v>313.1360576170346</v>
      </c>
      <c r="BA42" s="100" t="s">
        <v>597</v>
      </c>
      <c r="BB42" s="100" t="s">
        <v>597</v>
      </c>
      <c r="BC42" s="100" t="s">
        <v>597</v>
      </c>
      <c r="BD42" s="158">
        <v>0.5443632126</v>
      </c>
      <c r="BE42" s="158">
        <v>0.8594883728</v>
      </c>
      <c r="BF42" s="162">
        <v>794</v>
      </c>
      <c r="BG42" s="162">
        <v>16</v>
      </c>
      <c r="BH42" s="162">
        <v>1604</v>
      </c>
      <c r="BI42" s="162">
        <v>669</v>
      </c>
      <c r="BJ42" s="162">
        <v>357</v>
      </c>
      <c r="BK42" s="97"/>
      <c r="BL42" s="97"/>
      <c r="BM42" s="97"/>
      <c r="BN42" s="97"/>
    </row>
    <row r="43" spans="1:66" ht="12.75">
      <c r="A43" s="79" t="s">
        <v>540</v>
      </c>
      <c r="B43" s="79" t="s">
        <v>294</v>
      </c>
      <c r="C43" s="79" t="s">
        <v>266</v>
      </c>
      <c r="D43" s="99">
        <v>6697</v>
      </c>
      <c r="E43" s="99">
        <v>1366</v>
      </c>
      <c r="F43" s="99" t="s">
        <v>366</v>
      </c>
      <c r="G43" s="99">
        <v>20</v>
      </c>
      <c r="H43" s="99">
        <v>13</v>
      </c>
      <c r="I43" s="99">
        <v>158</v>
      </c>
      <c r="J43" s="99">
        <v>771</v>
      </c>
      <c r="K43" s="99">
        <v>10</v>
      </c>
      <c r="L43" s="99">
        <v>1215</v>
      </c>
      <c r="M43" s="99">
        <v>602</v>
      </c>
      <c r="N43" s="99">
        <v>315</v>
      </c>
      <c r="O43" s="99">
        <v>131</v>
      </c>
      <c r="P43" s="159">
        <v>131</v>
      </c>
      <c r="Q43" s="99">
        <v>17</v>
      </c>
      <c r="R43" s="99">
        <v>32</v>
      </c>
      <c r="S43" s="99">
        <v>18</v>
      </c>
      <c r="T43" s="99">
        <v>13</v>
      </c>
      <c r="U43" s="99" t="s">
        <v>597</v>
      </c>
      <c r="V43" s="99">
        <v>34</v>
      </c>
      <c r="W43" s="99">
        <v>32</v>
      </c>
      <c r="X43" s="99">
        <v>14</v>
      </c>
      <c r="Y43" s="99">
        <v>58</v>
      </c>
      <c r="Z43" s="99">
        <v>37</v>
      </c>
      <c r="AA43" s="99" t="s">
        <v>597</v>
      </c>
      <c r="AB43" s="99" t="s">
        <v>597</v>
      </c>
      <c r="AC43" s="99" t="s">
        <v>597</v>
      </c>
      <c r="AD43" s="98" t="s">
        <v>345</v>
      </c>
      <c r="AE43" s="100">
        <v>0.2039719277288338</v>
      </c>
      <c r="AF43" s="100">
        <v>0.09</v>
      </c>
      <c r="AG43" s="98">
        <v>298.64118261908317</v>
      </c>
      <c r="AH43" s="98">
        <v>194.11676870240407</v>
      </c>
      <c r="AI43" s="100">
        <v>0.024</v>
      </c>
      <c r="AJ43" s="100">
        <v>0.73639</v>
      </c>
      <c r="AK43" s="100">
        <v>0.526316</v>
      </c>
      <c r="AL43" s="100">
        <v>0.728854</v>
      </c>
      <c r="AM43" s="100">
        <v>0.631689</v>
      </c>
      <c r="AN43" s="100">
        <v>0.645492</v>
      </c>
      <c r="AO43" s="98">
        <v>1956.0997461549948</v>
      </c>
      <c r="AP43" s="158">
        <v>0.9109253692999999</v>
      </c>
      <c r="AQ43" s="100">
        <v>0.1297709923664122</v>
      </c>
      <c r="AR43" s="100">
        <v>0.53125</v>
      </c>
      <c r="AS43" s="98">
        <v>268.7770643571749</v>
      </c>
      <c r="AT43" s="98">
        <v>194.11676870240407</v>
      </c>
      <c r="AU43" s="98" t="s">
        <v>597</v>
      </c>
      <c r="AV43" s="98">
        <v>507.6900104524414</v>
      </c>
      <c r="AW43" s="98">
        <v>477.82589219053307</v>
      </c>
      <c r="AX43" s="98">
        <v>209.04882783335822</v>
      </c>
      <c r="AY43" s="98">
        <v>866.0594295953412</v>
      </c>
      <c r="AZ43" s="98">
        <v>552.4861878453039</v>
      </c>
      <c r="BA43" s="100" t="s">
        <v>597</v>
      </c>
      <c r="BB43" s="100" t="s">
        <v>597</v>
      </c>
      <c r="BC43" s="100" t="s">
        <v>597</v>
      </c>
      <c r="BD43" s="158">
        <v>0.7616226959</v>
      </c>
      <c r="BE43" s="158">
        <v>1.080941315</v>
      </c>
      <c r="BF43" s="162">
        <v>1047</v>
      </c>
      <c r="BG43" s="162">
        <v>19</v>
      </c>
      <c r="BH43" s="162">
        <v>1667</v>
      </c>
      <c r="BI43" s="162">
        <v>953</v>
      </c>
      <c r="BJ43" s="162">
        <v>488</v>
      </c>
      <c r="BK43" s="97"/>
      <c r="BL43" s="97"/>
      <c r="BM43" s="97"/>
      <c r="BN43" s="97"/>
    </row>
    <row r="44" spans="1:66" ht="12.75">
      <c r="A44" s="79" t="s">
        <v>534</v>
      </c>
      <c r="B44" s="79" t="s">
        <v>288</v>
      </c>
      <c r="C44" s="79" t="s">
        <v>266</v>
      </c>
      <c r="D44" s="99">
        <v>11960</v>
      </c>
      <c r="E44" s="99">
        <v>2216</v>
      </c>
      <c r="F44" s="99" t="s">
        <v>366</v>
      </c>
      <c r="G44" s="99">
        <v>58</v>
      </c>
      <c r="H44" s="99">
        <v>30</v>
      </c>
      <c r="I44" s="99">
        <v>199</v>
      </c>
      <c r="J44" s="99">
        <v>1076</v>
      </c>
      <c r="K44" s="99">
        <v>18</v>
      </c>
      <c r="L44" s="99">
        <v>2375</v>
      </c>
      <c r="M44" s="99">
        <v>842</v>
      </c>
      <c r="N44" s="99">
        <v>455</v>
      </c>
      <c r="O44" s="99">
        <v>191</v>
      </c>
      <c r="P44" s="159">
        <v>191</v>
      </c>
      <c r="Q44" s="99">
        <v>18</v>
      </c>
      <c r="R44" s="99">
        <v>43</v>
      </c>
      <c r="S44" s="99">
        <v>36</v>
      </c>
      <c r="T44" s="99">
        <v>39</v>
      </c>
      <c r="U44" s="99">
        <v>7</v>
      </c>
      <c r="V44" s="99">
        <v>36</v>
      </c>
      <c r="W44" s="99">
        <v>70</v>
      </c>
      <c r="X44" s="99">
        <v>28</v>
      </c>
      <c r="Y44" s="99">
        <v>112</v>
      </c>
      <c r="Z44" s="99">
        <v>65</v>
      </c>
      <c r="AA44" s="99" t="s">
        <v>597</v>
      </c>
      <c r="AB44" s="99" t="s">
        <v>597</v>
      </c>
      <c r="AC44" s="99" t="s">
        <v>597</v>
      </c>
      <c r="AD44" s="98" t="s">
        <v>345</v>
      </c>
      <c r="AE44" s="100">
        <v>0.18528428093645485</v>
      </c>
      <c r="AF44" s="100">
        <v>0.1</v>
      </c>
      <c r="AG44" s="98">
        <v>484.94983277591973</v>
      </c>
      <c r="AH44" s="98">
        <v>250.83612040133778</v>
      </c>
      <c r="AI44" s="100">
        <v>0.017</v>
      </c>
      <c r="AJ44" s="100">
        <v>0.699155</v>
      </c>
      <c r="AK44" s="100">
        <v>0.461538</v>
      </c>
      <c r="AL44" s="100">
        <v>0.803723</v>
      </c>
      <c r="AM44" s="100">
        <v>0.585535</v>
      </c>
      <c r="AN44" s="100">
        <v>0.597113</v>
      </c>
      <c r="AO44" s="98">
        <v>1596.9899665551839</v>
      </c>
      <c r="AP44" s="158">
        <v>0.8102953339</v>
      </c>
      <c r="AQ44" s="100">
        <v>0.09424083769633508</v>
      </c>
      <c r="AR44" s="100">
        <v>0.4186046511627907</v>
      </c>
      <c r="AS44" s="98">
        <v>301.0033444816053</v>
      </c>
      <c r="AT44" s="98">
        <v>326.0869565217391</v>
      </c>
      <c r="AU44" s="98">
        <v>58.52842809364549</v>
      </c>
      <c r="AV44" s="98">
        <v>301.0033444816053</v>
      </c>
      <c r="AW44" s="98">
        <v>585.2842809364548</v>
      </c>
      <c r="AX44" s="98">
        <v>234.11371237458195</v>
      </c>
      <c r="AY44" s="98">
        <v>936.4548494983278</v>
      </c>
      <c r="AZ44" s="98">
        <v>543.4782608695652</v>
      </c>
      <c r="BA44" s="100" t="s">
        <v>597</v>
      </c>
      <c r="BB44" s="100" t="s">
        <v>597</v>
      </c>
      <c r="BC44" s="100" t="s">
        <v>597</v>
      </c>
      <c r="BD44" s="158">
        <v>0.6994502258</v>
      </c>
      <c r="BE44" s="158">
        <v>0.9337166594999999</v>
      </c>
      <c r="BF44" s="162">
        <v>1539</v>
      </c>
      <c r="BG44" s="162">
        <v>39</v>
      </c>
      <c r="BH44" s="162">
        <v>2955</v>
      </c>
      <c r="BI44" s="162">
        <v>1438</v>
      </c>
      <c r="BJ44" s="162">
        <v>762</v>
      </c>
      <c r="BK44" s="97"/>
      <c r="BL44" s="97"/>
      <c r="BM44" s="97"/>
      <c r="BN44" s="97"/>
    </row>
    <row r="45" spans="1:66" ht="12.75">
      <c r="A45" s="79" t="s">
        <v>531</v>
      </c>
      <c r="B45" s="79" t="s">
        <v>285</v>
      </c>
      <c r="C45" s="79" t="s">
        <v>266</v>
      </c>
      <c r="D45" s="99">
        <v>9555</v>
      </c>
      <c r="E45" s="99">
        <v>1903</v>
      </c>
      <c r="F45" s="99" t="s">
        <v>367</v>
      </c>
      <c r="G45" s="99">
        <v>32</v>
      </c>
      <c r="H45" s="99">
        <v>31</v>
      </c>
      <c r="I45" s="99">
        <v>226</v>
      </c>
      <c r="J45" s="99">
        <v>1104</v>
      </c>
      <c r="K45" s="99">
        <v>1060</v>
      </c>
      <c r="L45" s="99">
        <v>1868</v>
      </c>
      <c r="M45" s="99">
        <v>765</v>
      </c>
      <c r="N45" s="99">
        <v>383</v>
      </c>
      <c r="O45" s="99">
        <v>195</v>
      </c>
      <c r="P45" s="159">
        <v>195</v>
      </c>
      <c r="Q45" s="99">
        <v>18</v>
      </c>
      <c r="R45" s="99">
        <v>59</v>
      </c>
      <c r="S45" s="99">
        <v>32</v>
      </c>
      <c r="T45" s="99">
        <v>28</v>
      </c>
      <c r="U45" s="99">
        <v>6</v>
      </c>
      <c r="V45" s="99">
        <v>19</v>
      </c>
      <c r="W45" s="99">
        <v>62</v>
      </c>
      <c r="X45" s="99">
        <v>24</v>
      </c>
      <c r="Y45" s="99">
        <v>139</v>
      </c>
      <c r="Z45" s="99">
        <v>75</v>
      </c>
      <c r="AA45" s="99" t="s">
        <v>597</v>
      </c>
      <c r="AB45" s="99" t="s">
        <v>597</v>
      </c>
      <c r="AC45" s="99" t="s">
        <v>597</v>
      </c>
      <c r="AD45" s="98" t="s">
        <v>345</v>
      </c>
      <c r="AE45" s="100">
        <v>0.19916274201988488</v>
      </c>
      <c r="AF45" s="100">
        <v>0.07</v>
      </c>
      <c r="AG45" s="98">
        <v>334.9031920460492</v>
      </c>
      <c r="AH45" s="98">
        <v>324.43746729461014</v>
      </c>
      <c r="AI45" s="100">
        <v>0.024</v>
      </c>
      <c r="AJ45" s="100">
        <v>0.807608</v>
      </c>
      <c r="AK45" s="100">
        <v>0.814758</v>
      </c>
      <c r="AL45" s="100">
        <v>0.813943</v>
      </c>
      <c r="AM45" s="100">
        <v>0.609562</v>
      </c>
      <c r="AN45" s="100">
        <v>0.626841</v>
      </c>
      <c r="AO45" s="98">
        <v>2040.8163265306123</v>
      </c>
      <c r="AP45" s="158">
        <v>0.9755400848</v>
      </c>
      <c r="AQ45" s="100">
        <v>0.09230769230769231</v>
      </c>
      <c r="AR45" s="100">
        <v>0.3050847457627119</v>
      </c>
      <c r="AS45" s="98">
        <v>334.9031920460492</v>
      </c>
      <c r="AT45" s="98">
        <v>293.040293040293</v>
      </c>
      <c r="AU45" s="98">
        <v>62.79434850863422</v>
      </c>
      <c r="AV45" s="98">
        <v>198.8487702773417</v>
      </c>
      <c r="AW45" s="98">
        <v>648.8749345892203</v>
      </c>
      <c r="AX45" s="98">
        <v>251.1773940345369</v>
      </c>
      <c r="AY45" s="98">
        <v>1454.7357404500262</v>
      </c>
      <c r="AZ45" s="98">
        <v>784.9293563579278</v>
      </c>
      <c r="BA45" s="100" t="s">
        <v>597</v>
      </c>
      <c r="BB45" s="100" t="s">
        <v>597</v>
      </c>
      <c r="BC45" s="100" t="s">
        <v>597</v>
      </c>
      <c r="BD45" s="158">
        <v>0.843415451</v>
      </c>
      <c r="BE45" s="158">
        <v>1.122491608</v>
      </c>
      <c r="BF45" s="162">
        <v>1367</v>
      </c>
      <c r="BG45" s="162">
        <v>1301</v>
      </c>
      <c r="BH45" s="162">
        <v>2295</v>
      </c>
      <c r="BI45" s="162">
        <v>1255</v>
      </c>
      <c r="BJ45" s="162">
        <v>611</v>
      </c>
      <c r="BK45" s="97"/>
      <c r="BL45" s="97"/>
      <c r="BM45" s="97"/>
      <c r="BN45" s="97"/>
    </row>
    <row r="46" spans="1:66" ht="12.75">
      <c r="A46" s="79" t="s">
        <v>559</v>
      </c>
      <c r="B46" s="79" t="s">
        <v>313</v>
      </c>
      <c r="C46" s="79" t="s">
        <v>266</v>
      </c>
      <c r="D46" s="99">
        <v>8441</v>
      </c>
      <c r="E46" s="99">
        <v>1595</v>
      </c>
      <c r="F46" s="99" t="s">
        <v>367</v>
      </c>
      <c r="G46" s="99">
        <v>37</v>
      </c>
      <c r="H46" s="99">
        <v>22</v>
      </c>
      <c r="I46" s="99">
        <v>179</v>
      </c>
      <c r="J46" s="99">
        <v>942</v>
      </c>
      <c r="K46" s="99">
        <v>12</v>
      </c>
      <c r="L46" s="99">
        <v>1736</v>
      </c>
      <c r="M46" s="99">
        <v>685</v>
      </c>
      <c r="N46" s="99">
        <v>352</v>
      </c>
      <c r="O46" s="99">
        <v>74</v>
      </c>
      <c r="P46" s="159">
        <v>74</v>
      </c>
      <c r="Q46" s="99">
        <v>9</v>
      </c>
      <c r="R46" s="99">
        <v>31</v>
      </c>
      <c r="S46" s="99">
        <v>20</v>
      </c>
      <c r="T46" s="99">
        <v>8</v>
      </c>
      <c r="U46" s="99" t="s">
        <v>597</v>
      </c>
      <c r="V46" s="99">
        <v>15</v>
      </c>
      <c r="W46" s="99">
        <v>61</v>
      </c>
      <c r="X46" s="99">
        <v>27</v>
      </c>
      <c r="Y46" s="99">
        <v>100</v>
      </c>
      <c r="Z46" s="99">
        <v>41</v>
      </c>
      <c r="AA46" s="99" t="s">
        <v>597</v>
      </c>
      <c r="AB46" s="99" t="s">
        <v>597</v>
      </c>
      <c r="AC46" s="99" t="s">
        <v>597</v>
      </c>
      <c r="AD46" s="98" t="s">
        <v>345</v>
      </c>
      <c r="AE46" s="100">
        <v>0.18895865418789243</v>
      </c>
      <c r="AF46" s="100">
        <v>0.06</v>
      </c>
      <c r="AG46" s="98">
        <v>438.33668996564387</v>
      </c>
      <c r="AH46" s="98">
        <v>260.6326264660585</v>
      </c>
      <c r="AI46" s="100">
        <v>0.021</v>
      </c>
      <c r="AJ46" s="100">
        <v>0.726291</v>
      </c>
      <c r="AK46" s="100">
        <v>0.48</v>
      </c>
      <c r="AL46" s="100">
        <v>0.801848</v>
      </c>
      <c r="AM46" s="100">
        <v>0.595135</v>
      </c>
      <c r="AN46" s="100">
        <v>0.624113</v>
      </c>
      <c r="AO46" s="98">
        <v>876.6733799312877</v>
      </c>
      <c r="AP46" s="158">
        <v>0.4229333496</v>
      </c>
      <c r="AQ46" s="100">
        <v>0.12162162162162163</v>
      </c>
      <c r="AR46" s="100">
        <v>0.2903225806451613</v>
      </c>
      <c r="AS46" s="98">
        <v>236.93875133278047</v>
      </c>
      <c r="AT46" s="98">
        <v>94.7755005331122</v>
      </c>
      <c r="AU46" s="98" t="s">
        <v>597</v>
      </c>
      <c r="AV46" s="98">
        <v>177.70406349958535</v>
      </c>
      <c r="AW46" s="98">
        <v>722.6631915649805</v>
      </c>
      <c r="AX46" s="98">
        <v>319.8673142992536</v>
      </c>
      <c r="AY46" s="98">
        <v>1184.6937566639024</v>
      </c>
      <c r="AZ46" s="98">
        <v>485.7244402322</v>
      </c>
      <c r="BA46" s="100" t="s">
        <v>597</v>
      </c>
      <c r="BB46" s="100" t="s">
        <v>597</v>
      </c>
      <c r="BC46" s="100" t="s">
        <v>597</v>
      </c>
      <c r="BD46" s="158">
        <v>0.3320936203</v>
      </c>
      <c r="BE46" s="158">
        <v>0.5309540558</v>
      </c>
      <c r="BF46" s="162">
        <v>1297</v>
      </c>
      <c r="BG46" s="162">
        <v>25</v>
      </c>
      <c r="BH46" s="162">
        <v>2165</v>
      </c>
      <c r="BI46" s="162">
        <v>1151</v>
      </c>
      <c r="BJ46" s="162">
        <v>564</v>
      </c>
      <c r="BK46" s="97"/>
      <c r="BL46" s="97"/>
      <c r="BM46" s="97"/>
      <c r="BN46" s="97"/>
    </row>
    <row r="47" spans="1:66" ht="12.75">
      <c r="A47" s="79" t="s">
        <v>556</v>
      </c>
      <c r="B47" s="79" t="s">
        <v>310</v>
      </c>
      <c r="C47" s="79" t="s">
        <v>266</v>
      </c>
      <c r="D47" s="99">
        <v>15965</v>
      </c>
      <c r="E47" s="99">
        <v>2984</v>
      </c>
      <c r="F47" s="99" t="s">
        <v>366</v>
      </c>
      <c r="G47" s="99">
        <v>73</v>
      </c>
      <c r="H47" s="99">
        <v>50</v>
      </c>
      <c r="I47" s="99">
        <v>322</v>
      </c>
      <c r="J47" s="99">
        <v>1559</v>
      </c>
      <c r="K47" s="99">
        <v>1516</v>
      </c>
      <c r="L47" s="99">
        <v>2739</v>
      </c>
      <c r="M47" s="99">
        <v>1077</v>
      </c>
      <c r="N47" s="99">
        <v>556</v>
      </c>
      <c r="O47" s="99">
        <v>182</v>
      </c>
      <c r="P47" s="159">
        <v>182</v>
      </c>
      <c r="Q47" s="99">
        <v>27</v>
      </c>
      <c r="R47" s="99">
        <v>84</v>
      </c>
      <c r="S47" s="99">
        <v>30</v>
      </c>
      <c r="T47" s="99">
        <v>35</v>
      </c>
      <c r="U47" s="99">
        <v>11</v>
      </c>
      <c r="V47" s="99">
        <v>46</v>
      </c>
      <c r="W47" s="99">
        <v>77</v>
      </c>
      <c r="X47" s="99">
        <v>32</v>
      </c>
      <c r="Y47" s="99">
        <v>182</v>
      </c>
      <c r="Z47" s="99">
        <v>112</v>
      </c>
      <c r="AA47" s="99" t="s">
        <v>597</v>
      </c>
      <c r="AB47" s="99" t="s">
        <v>597</v>
      </c>
      <c r="AC47" s="99" t="s">
        <v>597</v>
      </c>
      <c r="AD47" s="98" t="s">
        <v>345</v>
      </c>
      <c r="AE47" s="100">
        <v>0.18690886313811464</v>
      </c>
      <c r="AF47" s="100">
        <v>0.1</v>
      </c>
      <c r="AG47" s="98">
        <v>457.2502348888193</v>
      </c>
      <c r="AH47" s="98">
        <v>313.18509238960223</v>
      </c>
      <c r="AI47" s="100">
        <v>0.02</v>
      </c>
      <c r="AJ47" s="100">
        <v>0.797851</v>
      </c>
      <c r="AK47" s="100">
        <v>0.798315</v>
      </c>
      <c r="AL47" s="100">
        <v>0.729427</v>
      </c>
      <c r="AM47" s="100">
        <v>0.606761</v>
      </c>
      <c r="AN47" s="100">
        <v>0.643519</v>
      </c>
      <c r="AO47" s="98">
        <v>1139.9937362981523</v>
      </c>
      <c r="AP47" s="158">
        <v>0.5790456009</v>
      </c>
      <c r="AQ47" s="100">
        <v>0.14835164835164835</v>
      </c>
      <c r="AR47" s="100">
        <v>0.32142857142857145</v>
      </c>
      <c r="AS47" s="98">
        <v>187.91105543376136</v>
      </c>
      <c r="AT47" s="98">
        <v>219.22956467272158</v>
      </c>
      <c r="AU47" s="98">
        <v>68.9007203257125</v>
      </c>
      <c r="AV47" s="98">
        <v>288.1302849984341</v>
      </c>
      <c r="AW47" s="98">
        <v>482.30504227998745</v>
      </c>
      <c r="AX47" s="98">
        <v>200.43845912934543</v>
      </c>
      <c r="AY47" s="98">
        <v>1139.9937362981523</v>
      </c>
      <c r="AZ47" s="98">
        <v>701.534606952709</v>
      </c>
      <c r="BA47" s="100" t="s">
        <v>597</v>
      </c>
      <c r="BB47" s="100" t="s">
        <v>597</v>
      </c>
      <c r="BC47" s="100" t="s">
        <v>597</v>
      </c>
      <c r="BD47" s="158">
        <v>0.4979733276</v>
      </c>
      <c r="BE47" s="158">
        <v>0.6695548248000001</v>
      </c>
      <c r="BF47" s="162">
        <v>1954</v>
      </c>
      <c r="BG47" s="162">
        <v>1899</v>
      </c>
      <c r="BH47" s="162">
        <v>3755</v>
      </c>
      <c r="BI47" s="162">
        <v>1775</v>
      </c>
      <c r="BJ47" s="162">
        <v>864</v>
      </c>
      <c r="BK47" s="97"/>
      <c r="BL47" s="97"/>
      <c r="BM47" s="97"/>
      <c r="BN47" s="97"/>
    </row>
    <row r="48" spans="1:66" ht="12.75">
      <c r="A48" s="79" t="s">
        <v>582</v>
      </c>
      <c r="B48" s="79" t="s">
        <v>336</v>
      </c>
      <c r="C48" s="79" t="s">
        <v>266</v>
      </c>
      <c r="D48" s="99">
        <v>1866</v>
      </c>
      <c r="E48" s="99">
        <v>574</v>
      </c>
      <c r="F48" s="99" t="s">
        <v>367</v>
      </c>
      <c r="G48" s="99">
        <v>12</v>
      </c>
      <c r="H48" s="99" t="s">
        <v>597</v>
      </c>
      <c r="I48" s="99">
        <v>73</v>
      </c>
      <c r="J48" s="99">
        <v>253</v>
      </c>
      <c r="K48" s="99">
        <v>234</v>
      </c>
      <c r="L48" s="99">
        <v>305</v>
      </c>
      <c r="M48" s="99">
        <v>205</v>
      </c>
      <c r="N48" s="99">
        <v>114</v>
      </c>
      <c r="O48" s="99">
        <v>55</v>
      </c>
      <c r="P48" s="159">
        <v>55</v>
      </c>
      <c r="Q48" s="99">
        <v>6</v>
      </c>
      <c r="R48" s="99">
        <v>19</v>
      </c>
      <c r="S48" s="99">
        <v>9</v>
      </c>
      <c r="T48" s="99">
        <v>22</v>
      </c>
      <c r="U48" s="99" t="s">
        <v>597</v>
      </c>
      <c r="V48" s="99">
        <v>9</v>
      </c>
      <c r="W48" s="99">
        <v>8</v>
      </c>
      <c r="X48" s="99">
        <v>12</v>
      </c>
      <c r="Y48" s="99">
        <v>16</v>
      </c>
      <c r="Z48" s="99">
        <v>13</v>
      </c>
      <c r="AA48" s="99" t="s">
        <v>597</v>
      </c>
      <c r="AB48" s="99" t="s">
        <v>597</v>
      </c>
      <c r="AC48" s="99" t="s">
        <v>597</v>
      </c>
      <c r="AD48" s="98" t="s">
        <v>345</v>
      </c>
      <c r="AE48" s="100">
        <v>0.30760986066452306</v>
      </c>
      <c r="AF48" s="100">
        <v>0.08</v>
      </c>
      <c r="AG48" s="98">
        <v>643.0868167202573</v>
      </c>
      <c r="AH48" s="98" t="s">
        <v>597</v>
      </c>
      <c r="AI48" s="100">
        <v>0.039</v>
      </c>
      <c r="AJ48" s="100">
        <v>0.752976</v>
      </c>
      <c r="AK48" s="100">
        <v>0.733542</v>
      </c>
      <c r="AL48" s="100">
        <v>0.751232</v>
      </c>
      <c r="AM48" s="100">
        <v>0.564738</v>
      </c>
      <c r="AN48" s="100">
        <v>0.616216</v>
      </c>
      <c r="AO48" s="98">
        <v>2947.481243301179</v>
      </c>
      <c r="AP48" s="158">
        <v>1.122504425</v>
      </c>
      <c r="AQ48" s="100">
        <v>0.10909090909090909</v>
      </c>
      <c r="AR48" s="100">
        <v>0.3157894736842105</v>
      </c>
      <c r="AS48" s="98">
        <v>482.3151125401929</v>
      </c>
      <c r="AT48" s="98">
        <v>1178.9924973204716</v>
      </c>
      <c r="AU48" s="98" t="s">
        <v>597</v>
      </c>
      <c r="AV48" s="98">
        <v>482.3151125401929</v>
      </c>
      <c r="AW48" s="98">
        <v>428.7245444801715</v>
      </c>
      <c r="AX48" s="98">
        <v>643.0868167202573</v>
      </c>
      <c r="AY48" s="98">
        <v>857.449088960343</v>
      </c>
      <c r="AZ48" s="98">
        <v>696.6773847802787</v>
      </c>
      <c r="BA48" s="100" t="s">
        <v>597</v>
      </c>
      <c r="BB48" s="100" t="s">
        <v>597</v>
      </c>
      <c r="BC48" s="100" t="s">
        <v>597</v>
      </c>
      <c r="BD48" s="158">
        <v>0.8456240081999999</v>
      </c>
      <c r="BE48" s="158">
        <v>1.461093903</v>
      </c>
      <c r="BF48" s="162">
        <v>336</v>
      </c>
      <c r="BG48" s="162">
        <v>319</v>
      </c>
      <c r="BH48" s="162">
        <v>406</v>
      </c>
      <c r="BI48" s="162">
        <v>363</v>
      </c>
      <c r="BJ48" s="162">
        <v>185</v>
      </c>
      <c r="BK48" s="97"/>
      <c r="BL48" s="97"/>
      <c r="BM48" s="97"/>
      <c r="BN48" s="97"/>
    </row>
    <row r="49" spans="1:66" ht="12.75">
      <c r="A49" s="79" t="s">
        <v>588</v>
      </c>
      <c r="B49" s="79" t="s">
        <v>342</v>
      </c>
      <c r="C49" s="79" t="s">
        <v>266</v>
      </c>
      <c r="D49" s="99">
        <v>4245</v>
      </c>
      <c r="E49" s="99">
        <v>743</v>
      </c>
      <c r="F49" s="99" t="s">
        <v>366</v>
      </c>
      <c r="G49" s="99">
        <v>15</v>
      </c>
      <c r="H49" s="99">
        <v>7</v>
      </c>
      <c r="I49" s="99">
        <v>89</v>
      </c>
      <c r="J49" s="99">
        <v>427</v>
      </c>
      <c r="K49" s="99" t="s">
        <v>597</v>
      </c>
      <c r="L49" s="99">
        <v>883</v>
      </c>
      <c r="M49" s="99">
        <v>328</v>
      </c>
      <c r="N49" s="99">
        <v>183</v>
      </c>
      <c r="O49" s="99">
        <v>116</v>
      </c>
      <c r="P49" s="159">
        <v>116</v>
      </c>
      <c r="Q49" s="99">
        <v>11</v>
      </c>
      <c r="R49" s="99">
        <v>16</v>
      </c>
      <c r="S49" s="99">
        <v>26</v>
      </c>
      <c r="T49" s="99">
        <v>19</v>
      </c>
      <c r="U49" s="99" t="s">
        <v>597</v>
      </c>
      <c r="V49" s="99">
        <v>25</v>
      </c>
      <c r="W49" s="99">
        <v>22</v>
      </c>
      <c r="X49" s="99">
        <v>20</v>
      </c>
      <c r="Y49" s="99">
        <v>47</v>
      </c>
      <c r="Z49" s="99">
        <v>14</v>
      </c>
      <c r="AA49" s="99" t="s">
        <v>597</v>
      </c>
      <c r="AB49" s="99" t="s">
        <v>597</v>
      </c>
      <c r="AC49" s="99" t="s">
        <v>597</v>
      </c>
      <c r="AD49" s="98" t="s">
        <v>345</v>
      </c>
      <c r="AE49" s="100">
        <v>0.17502944640753829</v>
      </c>
      <c r="AF49" s="100">
        <v>0.09</v>
      </c>
      <c r="AG49" s="98">
        <v>353.35689045936397</v>
      </c>
      <c r="AH49" s="98">
        <v>164.89988221436985</v>
      </c>
      <c r="AI49" s="100">
        <v>0.021</v>
      </c>
      <c r="AJ49" s="100">
        <v>0.692058</v>
      </c>
      <c r="AK49" s="100" t="s">
        <v>597</v>
      </c>
      <c r="AL49" s="100">
        <v>0.808608</v>
      </c>
      <c r="AM49" s="100">
        <v>0.623574</v>
      </c>
      <c r="AN49" s="100">
        <v>0.663043</v>
      </c>
      <c r="AO49" s="98">
        <v>2732.6266195524145</v>
      </c>
      <c r="AP49" s="158">
        <v>1.386048889</v>
      </c>
      <c r="AQ49" s="100">
        <v>0.09482758620689655</v>
      </c>
      <c r="AR49" s="100">
        <v>0.6875</v>
      </c>
      <c r="AS49" s="98">
        <v>612.4852767962309</v>
      </c>
      <c r="AT49" s="98">
        <v>447.585394581861</v>
      </c>
      <c r="AU49" s="98" t="s">
        <v>597</v>
      </c>
      <c r="AV49" s="98">
        <v>588.9281507656066</v>
      </c>
      <c r="AW49" s="98">
        <v>518.2567726737338</v>
      </c>
      <c r="AX49" s="98">
        <v>471.14252061248527</v>
      </c>
      <c r="AY49" s="98">
        <v>1107.1849234393403</v>
      </c>
      <c r="AZ49" s="98">
        <v>329.7997644287397</v>
      </c>
      <c r="BA49" s="100" t="s">
        <v>597</v>
      </c>
      <c r="BB49" s="100" t="s">
        <v>597</v>
      </c>
      <c r="BC49" s="100" t="s">
        <v>597</v>
      </c>
      <c r="BD49" s="158">
        <v>1.145318985</v>
      </c>
      <c r="BE49" s="158">
        <v>1.662433624</v>
      </c>
      <c r="BF49" s="162">
        <v>617</v>
      </c>
      <c r="BG49" s="162" t="s">
        <v>597</v>
      </c>
      <c r="BH49" s="162">
        <v>1092</v>
      </c>
      <c r="BI49" s="162">
        <v>526</v>
      </c>
      <c r="BJ49" s="162">
        <v>276</v>
      </c>
      <c r="BK49" s="97"/>
      <c r="BL49" s="97"/>
      <c r="BM49" s="97"/>
      <c r="BN49" s="97"/>
    </row>
    <row r="50" spans="1:66" ht="12.75">
      <c r="A50" s="79" t="s">
        <v>562</v>
      </c>
      <c r="B50" s="79" t="s">
        <v>316</v>
      </c>
      <c r="C50" s="79" t="s">
        <v>266</v>
      </c>
      <c r="D50" s="99">
        <v>10186</v>
      </c>
      <c r="E50" s="99">
        <v>1813</v>
      </c>
      <c r="F50" s="99" t="s">
        <v>366</v>
      </c>
      <c r="G50" s="99">
        <v>34</v>
      </c>
      <c r="H50" s="99">
        <v>16</v>
      </c>
      <c r="I50" s="99">
        <v>117</v>
      </c>
      <c r="J50" s="99">
        <v>874</v>
      </c>
      <c r="K50" s="99">
        <v>11</v>
      </c>
      <c r="L50" s="99">
        <v>1979</v>
      </c>
      <c r="M50" s="99">
        <v>674</v>
      </c>
      <c r="N50" s="99">
        <v>348</v>
      </c>
      <c r="O50" s="99">
        <v>120</v>
      </c>
      <c r="P50" s="159">
        <v>120</v>
      </c>
      <c r="Q50" s="99">
        <v>11</v>
      </c>
      <c r="R50" s="99">
        <v>39</v>
      </c>
      <c r="S50" s="99">
        <v>28</v>
      </c>
      <c r="T50" s="99">
        <v>31</v>
      </c>
      <c r="U50" s="99" t="s">
        <v>597</v>
      </c>
      <c r="V50" s="99">
        <v>10</v>
      </c>
      <c r="W50" s="99">
        <v>49</v>
      </c>
      <c r="X50" s="99">
        <v>24</v>
      </c>
      <c r="Y50" s="99">
        <v>95</v>
      </c>
      <c r="Z50" s="99">
        <v>43</v>
      </c>
      <c r="AA50" s="99" t="s">
        <v>597</v>
      </c>
      <c r="AB50" s="99" t="s">
        <v>597</v>
      </c>
      <c r="AC50" s="99" t="s">
        <v>597</v>
      </c>
      <c r="AD50" s="98" t="s">
        <v>345</v>
      </c>
      <c r="AE50" s="100">
        <v>0.1779893972118594</v>
      </c>
      <c r="AF50" s="100">
        <v>0.1</v>
      </c>
      <c r="AG50" s="98">
        <v>333.7914784999018</v>
      </c>
      <c r="AH50" s="98">
        <v>157.0783428234832</v>
      </c>
      <c r="AI50" s="100">
        <v>0.011000000000000001</v>
      </c>
      <c r="AJ50" s="100">
        <v>0.687648</v>
      </c>
      <c r="AK50" s="100">
        <v>0.44</v>
      </c>
      <c r="AL50" s="100">
        <v>0.766757</v>
      </c>
      <c r="AM50" s="100">
        <v>0.581536</v>
      </c>
      <c r="AN50" s="100">
        <v>0.587838</v>
      </c>
      <c r="AO50" s="98">
        <v>1178.0875711761241</v>
      </c>
      <c r="AP50" s="158">
        <v>0.6030818558</v>
      </c>
      <c r="AQ50" s="100">
        <v>0.09166666666666666</v>
      </c>
      <c r="AR50" s="100">
        <v>0.28205128205128205</v>
      </c>
      <c r="AS50" s="98">
        <v>274.88709994109564</v>
      </c>
      <c r="AT50" s="98">
        <v>304.3392892204987</v>
      </c>
      <c r="AU50" s="98" t="s">
        <v>597</v>
      </c>
      <c r="AV50" s="98">
        <v>98.17396426467701</v>
      </c>
      <c r="AW50" s="98">
        <v>481.05242489691733</v>
      </c>
      <c r="AX50" s="98">
        <v>235.61751423522483</v>
      </c>
      <c r="AY50" s="98">
        <v>932.6526605144315</v>
      </c>
      <c r="AZ50" s="98">
        <v>422.14804633811116</v>
      </c>
      <c r="BA50" s="100" t="s">
        <v>597</v>
      </c>
      <c r="BB50" s="100" t="s">
        <v>597</v>
      </c>
      <c r="BC50" s="100" t="s">
        <v>597</v>
      </c>
      <c r="BD50" s="158">
        <v>0.5000148010000001</v>
      </c>
      <c r="BE50" s="158">
        <v>0.7211380768</v>
      </c>
      <c r="BF50" s="162">
        <v>1271</v>
      </c>
      <c r="BG50" s="162">
        <v>25</v>
      </c>
      <c r="BH50" s="162">
        <v>2581</v>
      </c>
      <c r="BI50" s="162">
        <v>1159</v>
      </c>
      <c r="BJ50" s="162">
        <v>592</v>
      </c>
      <c r="BK50" s="97"/>
      <c r="BL50" s="97"/>
      <c r="BM50" s="97"/>
      <c r="BN50" s="97"/>
    </row>
    <row r="51" spans="1:66" ht="12.75">
      <c r="A51" s="79" t="s">
        <v>560</v>
      </c>
      <c r="B51" s="79" t="s">
        <v>314</v>
      </c>
      <c r="C51" s="79" t="s">
        <v>266</v>
      </c>
      <c r="D51" s="99">
        <v>10048</v>
      </c>
      <c r="E51" s="99">
        <v>1655</v>
      </c>
      <c r="F51" s="99" t="s">
        <v>366</v>
      </c>
      <c r="G51" s="99">
        <v>47</v>
      </c>
      <c r="H51" s="99">
        <v>18</v>
      </c>
      <c r="I51" s="99">
        <v>185</v>
      </c>
      <c r="J51" s="99">
        <v>998</v>
      </c>
      <c r="K51" s="99">
        <v>12</v>
      </c>
      <c r="L51" s="99">
        <v>2024</v>
      </c>
      <c r="M51" s="99">
        <v>711</v>
      </c>
      <c r="N51" s="99">
        <v>367</v>
      </c>
      <c r="O51" s="99">
        <v>121</v>
      </c>
      <c r="P51" s="159">
        <v>121</v>
      </c>
      <c r="Q51" s="99">
        <v>20</v>
      </c>
      <c r="R51" s="99">
        <v>44</v>
      </c>
      <c r="S51" s="99">
        <v>25</v>
      </c>
      <c r="T51" s="99">
        <v>34</v>
      </c>
      <c r="U51" s="99">
        <v>7</v>
      </c>
      <c r="V51" s="99">
        <v>14</v>
      </c>
      <c r="W51" s="99">
        <v>83</v>
      </c>
      <c r="X51" s="99">
        <v>17</v>
      </c>
      <c r="Y51" s="99">
        <v>141</v>
      </c>
      <c r="Z51" s="99">
        <v>40</v>
      </c>
      <c r="AA51" s="99" t="s">
        <v>597</v>
      </c>
      <c r="AB51" s="99" t="s">
        <v>597</v>
      </c>
      <c r="AC51" s="99" t="s">
        <v>597</v>
      </c>
      <c r="AD51" s="98" t="s">
        <v>345</v>
      </c>
      <c r="AE51" s="100">
        <v>0.1647093949044586</v>
      </c>
      <c r="AF51" s="100">
        <v>0.09</v>
      </c>
      <c r="AG51" s="98">
        <v>467.7547770700637</v>
      </c>
      <c r="AH51" s="98">
        <v>179.14012738853503</v>
      </c>
      <c r="AI51" s="100">
        <v>0.018000000000000002</v>
      </c>
      <c r="AJ51" s="100">
        <v>0.744221</v>
      </c>
      <c r="AK51" s="100">
        <v>0.387097</v>
      </c>
      <c r="AL51" s="100">
        <v>0.80222</v>
      </c>
      <c r="AM51" s="100">
        <v>0.580882</v>
      </c>
      <c r="AN51" s="100">
        <v>0.579779</v>
      </c>
      <c r="AO51" s="98">
        <v>1204.21974522293</v>
      </c>
      <c r="AP51" s="158">
        <v>0.635466423</v>
      </c>
      <c r="AQ51" s="100">
        <v>0.1652892561983471</v>
      </c>
      <c r="AR51" s="100">
        <v>0.45454545454545453</v>
      </c>
      <c r="AS51" s="98">
        <v>248.80573248407643</v>
      </c>
      <c r="AT51" s="98">
        <v>338.37579617834393</v>
      </c>
      <c r="AU51" s="98">
        <v>69.6656050955414</v>
      </c>
      <c r="AV51" s="98">
        <v>139.3312101910828</v>
      </c>
      <c r="AW51" s="98">
        <v>826.0350318471337</v>
      </c>
      <c r="AX51" s="98">
        <v>169.18789808917197</v>
      </c>
      <c r="AY51" s="98">
        <v>1403.2643312101911</v>
      </c>
      <c r="AZ51" s="98">
        <v>398.0891719745223</v>
      </c>
      <c r="BA51" s="100" t="s">
        <v>597</v>
      </c>
      <c r="BB51" s="100" t="s">
        <v>597</v>
      </c>
      <c r="BC51" s="100" t="s">
        <v>597</v>
      </c>
      <c r="BD51" s="158">
        <v>0.5272932053</v>
      </c>
      <c r="BE51" s="158">
        <v>0.7593013000000001</v>
      </c>
      <c r="BF51" s="162">
        <v>1341</v>
      </c>
      <c r="BG51" s="162">
        <v>31</v>
      </c>
      <c r="BH51" s="162">
        <v>2523</v>
      </c>
      <c r="BI51" s="162">
        <v>1224</v>
      </c>
      <c r="BJ51" s="162">
        <v>633</v>
      </c>
      <c r="BK51" s="97"/>
      <c r="BL51" s="97"/>
      <c r="BM51" s="97"/>
      <c r="BN51" s="97"/>
    </row>
    <row r="52" spans="1:66" ht="12.75">
      <c r="A52" s="79" t="s">
        <v>543</v>
      </c>
      <c r="B52" s="79" t="s">
        <v>297</v>
      </c>
      <c r="C52" s="79" t="s">
        <v>266</v>
      </c>
      <c r="D52" s="99">
        <v>7389</v>
      </c>
      <c r="E52" s="99">
        <v>1786</v>
      </c>
      <c r="F52" s="99" t="s">
        <v>366</v>
      </c>
      <c r="G52" s="99">
        <v>35</v>
      </c>
      <c r="H52" s="99">
        <v>20</v>
      </c>
      <c r="I52" s="99">
        <v>158</v>
      </c>
      <c r="J52" s="99">
        <v>741</v>
      </c>
      <c r="K52" s="99">
        <v>636</v>
      </c>
      <c r="L52" s="99">
        <v>1369</v>
      </c>
      <c r="M52" s="99">
        <v>565</v>
      </c>
      <c r="N52" s="99">
        <v>279</v>
      </c>
      <c r="O52" s="99">
        <v>162</v>
      </c>
      <c r="P52" s="159">
        <v>162</v>
      </c>
      <c r="Q52" s="99">
        <v>25</v>
      </c>
      <c r="R52" s="99">
        <v>50</v>
      </c>
      <c r="S52" s="99">
        <v>46</v>
      </c>
      <c r="T52" s="99">
        <v>24</v>
      </c>
      <c r="U52" s="99" t="s">
        <v>597</v>
      </c>
      <c r="V52" s="99">
        <v>42</v>
      </c>
      <c r="W52" s="99">
        <v>32</v>
      </c>
      <c r="X52" s="99">
        <v>33</v>
      </c>
      <c r="Y52" s="99">
        <v>60</v>
      </c>
      <c r="Z52" s="99">
        <v>68</v>
      </c>
      <c r="AA52" s="99" t="s">
        <v>597</v>
      </c>
      <c r="AB52" s="99" t="s">
        <v>597</v>
      </c>
      <c r="AC52" s="99" t="s">
        <v>597</v>
      </c>
      <c r="AD52" s="98" t="s">
        <v>345</v>
      </c>
      <c r="AE52" s="100">
        <v>0.24171065096765462</v>
      </c>
      <c r="AF52" s="100">
        <v>0.09</v>
      </c>
      <c r="AG52" s="98">
        <v>473.67708756259304</v>
      </c>
      <c r="AH52" s="98">
        <v>270.6726214643389</v>
      </c>
      <c r="AI52" s="100">
        <v>0.021</v>
      </c>
      <c r="AJ52" s="100">
        <v>0.746224</v>
      </c>
      <c r="AK52" s="100">
        <v>0.829205</v>
      </c>
      <c r="AL52" s="100">
        <v>0.789504</v>
      </c>
      <c r="AM52" s="100">
        <v>0.615468</v>
      </c>
      <c r="AN52" s="100">
        <v>0.638444</v>
      </c>
      <c r="AO52" s="98">
        <v>2192.448233861145</v>
      </c>
      <c r="AP52" s="158">
        <v>0.9808509064</v>
      </c>
      <c r="AQ52" s="100">
        <v>0.15432098765432098</v>
      </c>
      <c r="AR52" s="100">
        <v>0.5</v>
      </c>
      <c r="AS52" s="98">
        <v>622.5470293679795</v>
      </c>
      <c r="AT52" s="98">
        <v>324.8071457572067</v>
      </c>
      <c r="AU52" s="98" t="s">
        <v>597</v>
      </c>
      <c r="AV52" s="98">
        <v>568.4125050751117</v>
      </c>
      <c r="AW52" s="98">
        <v>433.0761943429422</v>
      </c>
      <c r="AX52" s="98">
        <v>446.60982541615914</v>
      </c>
      <c r="AY52" s="98">
        <v>812.0178643930167</v>
      </c>
      <c r="AZ52" s="98">
        <v>920.2869129787522</v>
      </c>
      <c r="BA52" s="100" t="s">
        <v>597</v>
      </c>
      <c r="BB52" s="100" t="s">
        <v>597</v>
      </c>
      <c r="BC52" s="100" t="s">
        <v>597</v>
      </c>
      <c r="BD52" s="158">
        <v>0.8356241608</v>
      </c>
      <c r="BE52" s="158">
        <v>1.144062271</v>
      </c>
      <c r="BF52" s="162">
        <v>993</v>
      </c>
      <c r="BG52" s="162">
        <v>767</v>
      </c>
      <c r="BH52" s="162">
        <v>1734</v>
      </c>
      <c r="BI52" s="162">
        <v>918</v>
      </c>
      <c r="BJ52" s="162">
        <v>437</v>
      </c>
      <c r="BK52" s="97"/>
      <c r="BL52" s="97"/>
      <c r="BM52" s="97"/>
      <c r="BN52" s="97"/>
    </row>
    <row r="53" spans="1:66" ht="12.75">
      <c r="A53" s="79" t="s">
        <v>587</v>
      </c>
      <c r="B53" s="79" t="s">
        <v>341</v>
      </c>
      <c r="C53" s="79" t="s">
        <v>266</v>
      </c>
      <c r="D53" s="99">
        <v>2662</v>
      </c>
      <c r="E53" s="99">
        <v>517</v>
      </c>
      <c r="F53" s="99" t="s">
        <v>366</v>
      </c>
      <c r="G53" s="99">
        <v>15</v>
      </c>
      <c r="H53" s="99" t="s">
        <v>597</v>
      </c>
      <c r="I53" s="99">
        <v>50</v>
      </c>
      <c r="J53" s="99">
        <v>265</v>
      </c>
      <c r="K53" s="99" t="s">
        <v>597</v>
      </c>
      <c r="L53" s="99">
        <v>468</v>
      </c>
      <c r="M53" s="99">
        <v>169</v>
      </c>
      <c r="N53" s="99">
        <v>81</v>
      </c>
      <c r="O53" s="99">
        <v>48</v>
      </c>
      <c r="P53" s="159">
        <v>48</v>
      </c>
      <c r="Q53" s="99" t="s">
        <v>597</v>
      </c>
      <c r="R53" s="99">
        <v>14</v>
      </c>
      <c r="S53" s="99">
        <v>7</v>
      </c>
      <c r="T53" s="99">
        <v>6</v>
      </c>
      <c r="U53" s="99">
        <v>6</v>
      </c>
      <c r="V53" s="99">
        <v>8</v>
      </c>
      <c r="W53" s="99">
        <v>13</v>
      </c>
      <c r="X53" s="99">
        <v>6</v>
      </c>
      <c r="Y53" s="99">
        <v>18</v>
      </c>
      <c r="Z53" s="99">
        <v>13</v>
      </c>
      <c r="AA53" s="99" t="s">
        <v>597</v>
      </c>
      <c r="AB53" s="99" t="s">
        <v>597</v>
      </c>
      <c r="AC53" s="99" t="s">
        <v>597</v>
      </c>
      <c r="AD53" s="98" t="s">
        <v>345</v>
      </c>
      <c r="AE53" s="100">
        <v>0.19421487603305784</v>
      </c>
      <c r="AF53" s="100">
        <v>0.1</v>
      </c>
      <c r="AG53" s="98">
        <v>563.4861006761834</v>
      </c>
      <c r="AH53" s="98" t="s">
        <v>597</v>
      </c>
      <c r="AI53" s="100">
        <v>0.019</v>
      </c>
      <c r="AJ53" s="100">
        <v>0.740223</v>
      </c>
      <c r="AK53" s="100" t="s">
        <v>597</v>
      </c>
      <c r="AL53" s="100">
        <v>0.767213</v>
      </c>
      <c r="AM53" s="100">
        <v>0.53481</v>
      </c>
      <c r="AN53" s="100">
        <v>0.515924</v>
      </c>
      <c r="AO53" s="98">
        <v>1803.1555221637866</v>
      </c>
      <c r="AP53" s="158">
        <v>0.8901461792</v>
      </c>
      <c r="AQ53" s="100" t="s">
        <v>597</v>
      </c>
      <c r="AR53" s="100" t="s">
        <v>597</v>
      </c>
      <c r="AS53" s="98">
        <v>262.96018031555224</v>
      </c>
      <c r="AT53" s="98">
        <v>225.39444027047332</v>
      </c>
      <c r="AU53" s="98">
        <v>225.39444027047332</v>
      </c>
      <c r="AV53" s="98">
        <v>300.5259203606311</v>
      </c>
      <c r="AW53" s="98">
        <v>488.35462058602553</v>
      </c>
      <c r="AX53" s="98">
        <v>225.39444027047332</v>
      </c>
      <c r="AY53" s="98">
        <v>676.18332081142</v>
      </c>
      <c r="AZ53" s="98">
        <v>488.35462058602553</v>
      </c>
      <c r="BA53" s="100" t="s">
        <v>597</v>
      </c>
      <c r="BB53" s="100" t="s">
        <v>597</v>
      </c>
      <c r="BC53" s="100" t="s">
        <v>597</v>
      </c>
      <c r="BD53" s="158">
        <v>0.6563235474</v>
      </c>
      <c r="BE53" s="158">
        <v>1.180204697</v>
      </c>
      <c r="BF53" s="162">
        <v>358</v>
      </c>
      <c r="BG53" s="162" t="s">
        <v>597</v>
      </c>
      <c r="BH53" s="162">
        <v>610</v>
      </c>
      <c r="BI53" s="162">
        <v>316</v>
      </c>
      <c r="BJ53" s="162">
        <v>157</v>
      </c>
      <c r="BK53" s="97"/>
      <c r="BL53" s="97"/>
      <c r="BM53" s="97"/>
      <c r="BN53" s="97"/>
    </row>
    <row r="54" spans="1:66" ht="12.75">
      <c r="A54" s="79" t="s">
        <v>565</v>
      </c>
      <c r="B54" s="79" t="s">
        <v>319</v>
      </c>
      <c r="C54" s="79" t="s">
        <v>266</v>
      </c>
      <c r="D54" s="99">
        <v>6454</v>
      </c>
      <c r="E54" s="99">
        <v>1239</v>
      </c>
      <c r="F54" s="99" t="s">
        <v>366</v>
      </c>
      <c r="G54" s="99">
        <v>33</v>
      </c>
      <c r="H54" s="99">
        <v>12</v>
      </c>
      <c r="I54" s="99">
        <v>135</v>
      </c>
      <c r="J54" s="99">
        <v>604</v>
      </c>
      <c r="K54" s="99">
        <v>9</v>
      </c>
      <c r="L54" s="99">
        <v>1253</v>
      </c>
      <c r="M54" s="99">
        <v>467</v>
      </c>
      <c r="N54" s="99">
        <v>239</v>
      </c>
      <c r="O54" s="99">
        <v>79</v>
      </c>
      <c r="P54" s="159">
        <v>79</v>
      </c>
      <c r="Q54" s="99">
        <v>12</v>
      </c>
      <c r="R54" s="99">
        <v>30</v>
      </c>
      <c r="S54" s="99">
        <v>22</v>
      </c>
      <c r="T54" s="99">
        <v>13</v>
      </c>
      <c r="U54" s="99" t="s">
        <v>597</v>
      </c>
      <c r="V54" s="99">
        <v>8</v>
      </c>
      <c r="W54" s="99">
        <v>35</v>
      </c>
      <c r="X54" s="99">
        <v>12</v>
      </c>
      <c r="Y54" s="99">
        <v>99</v>
      </c>
      <c r="Z54" s="99">
        <v>35</v>
      </c>
      <c r="AA54" s="99" t="s">
        <v>597</v>
      </c>
      <c r="AB54" s="99" t="s">
        <v>597</v>
      </c>
      <c r="AC54" s="99" t="s">
        <v>597</v>
      </c>
      <c r="AD54" s="98" t="s">
        <v>345</v>
      </c>
      <c r="AE54" s="100">
        <v>0.19197396963123645</v>
      </c>
      <c r="AF54" s="100">
        <v>0.11</v>
      </c>
      <c r="AG54" s="98">
        <v>511.31081499845055</v>
      </c>
      <c r="AH54" s="98">
        <v>185.93120545398202</v>
      </c>
      <c r="AI54" s="100">
        <v>0.021</v>
      </c>
      <c r="AJ54" s="100">
        <v>0.689498</v>
      </c>
      <c r="AK54" s="100">
        <v>0.391304</v>
      </c>
      <c r="AL54" s="100">
        <v>0.780685</v>
      </c>
      <c r="AM54" s="100">
        <v>0.566061</v>
      </c>
      <c r="AN54" s="100">
        <v>0.584352</v>
      </c>
      <c r="AO54" s="98">
        <v>1224.0471025720483</v>
      </c>
      <c r="AP54" s="158">
        <v>0.6067927933</v>
      </c>
      <c r="AQ54" s="100">
        <v>0.1518987341772152</v>
      </c>
      <c r="AR54" s="100">
        <v>0.4</v>
      </c>
      <c r="AS54" s="98">
        <v>340.8738766656337</v>
      </c>
      <c r="AT54" s="98">
        <v>201.42547257514718</v>
      </c>
      <c r="AU54" s="98" t="s">
        <v>597</v>
      </c>
      <c r="AV54" s="98">
        <v>123.95413696932135</v>
      </c>
      <c r="AW54" s="98">
        <v>542.2993492407809</v>
      </c>
      <c r="AX54" s="98">
        <v>185.93120545398202</v>
      </c>
      <c r="AY54" s="98">
        <v>1533.9324449953517</v>
      </c>
      <c r="AZ54" s="98">
        <v>542.2993492407809</v>
      </c>
      <c r="BA54" s="100" t="s">
        <v>597</v>
      </c>
      <c r="BB54" s="100" t="s">
        <v>597</v>
      </c>
      <c r="BC54" s="100" t="s">
        <v>597</v>
      </c>
      <c r="BD54" s="158">
        <v>0.48040355679999996</v>
      </c>
      <c r="BE54" s="158">
        <v>0.7562448883</v>
      </c>
      <c r="BF54" s="162">
        <v>876</v>
      </c>
      <c r="BG54" s="162">
        <v>23</v>
      </c>
      <c r="BH54" s="162">
        <v>1605</v>
      </c>
      <c r="BI54" s="162">
        <v>825</v>
      </c>
      <c r="BJ54" s="162">
        <v>409</v>
      </c>
      <c r="BK54" s="97"/>
      <c r="BL54" s="97"/>
      <c r="BM54" s="97"/>
      <c r="BN54" s="97"/>
    </row>
    <row r="55" spans="1:66" ht="12.75">
      <c r="A55" s="79" t="s">
        <v>561</v>
      </c>
      <c r="B55" s="79" t="s">
        <v>315</v>
      </c>
      <c r="C55" s="79" t="s">
        <v>266</v>
      </c>
      <c r="D55" s="99">
        <v>5119</v>
      </c>
      <c r="E55" s="99">
        <v>925</v>
      </c>
      <c r="F55" s="99" t="s">
        <v>367</v>
      </c>
      <c r="G55" s="99">
        <v>28</v>
      </c>
      <c r="H55" s="99">
        <v>20</v>
      </c>
      <c r="I55" s="99">
        <v>117</v>
      </c>
      <c r="J55" s="99">
        <v>503</v>
      </c>
      <c r="K55" s="99">
        <v>486</v>
      </c>
      <c r="L55" s="99">
        <v>970</v>
      </c>
      <c r="M55" s="99">
        <v>363</v>
      </c>
      <c r="N55" s="99">
        <v>200</v>
      </c>
      <c r="O55" s="99">
        <v>94</v>
      </c>
      <c r="P55" s="159">
        <v>94</v>
      </c>
      <c r="Q55" s="99">
        <v>27</v>
      </c>
      <c r="R55" s="99">
        <v>47</v>
      </c>
      <c r="S55" s="99">
        <v>21</v>
      </c>
      <c r="T55" s="99">
        <v>22</v>
      </c>
      <c r="U55" s="99" t="s">
        <v>597</v>
      </c>
      <c r="V55" s="99">
        <v>18</v>
      </c>
      <c r="W55" s="99">
        <v>21</v>
      </c>
      <c r="X55" s="99">
        <v>25</v>
      </c>
      <c r="Y55" s="99">
        <v>85</v>
      </c>
      <c r="Z55" s="99">
        <v>64</v>
      </c>
      <c r="AA55" s="99" t="s">
        <v>597</v>
      </c>
      <c r="AB55" s="99" t="s">
        <v>597</v>
      </c>
      <c r="AC55" s="99" t="s">
        <v>597</v>
      </c>
      <c r="AD55" s="98" t="s">
        <v>345</v>
      </c>
      <c r="AE55" s="100">
        <v>0.1806993553428404</v>
      </c>
      <c r="AF55" s="100">
        <v>0.08</v>
      </c>
      <c r="AG55" s="98">
        <v>546.9818323891385</v>
      </c>
      <c r="AH55" s="98">
        <v>390.70130884938465</v>
      </c>
      <c r="AI55" s="100">
        <v>0.023</v>
      </c>
      <c r="AJ55" s="100">
        <v>0.777434</v>
      </c>
      <c r="AK55" s="100">
        <v>0.794118</v>
      </c>
      <c r="AL55" s="100">
        <v>0.811037</v>
      </c>
      <c r="AM55" s="100">
        <v>0.596059</v>
      </c>
      <c r="AN55" s="100">
        <v>0.619195</v>
      </c>
      <c r="AO55" s="98">
        <v>1836.296151592108</v>
      </c>
      <c r="AP55" s="158">
        <v>0.9398345947</v>
      </c>
      <c r="AQ55" s="100">
        <v>0.2872340425531915</v>
      </c>
      <c r="AR55" s="100">
        <v>0.574468085106383</v>
      </c>
      <c r="AS55" s="98">
        <v>410.2363742918539</v>
      </c>
      <c r="AT55" s="98">
        <v>429.7714397343231</v>
      </c>
      <c r="AU55" s="98" t="s">
        <v>597</v>
      </c>
      <c r="AV55" s="98">
        <v>351.6311779644462</v>
      </c>
      <c r="AW55" s="98">
        <v>410.2363742918539</v>
      </c>
      <c r="AX55" s="98">
        <v>488.37663606173084</v>
      </c>
      <c r="AY55" s="98">
        <v>1660.4805626098848</v>
      </c>
      <c r="AZ55" s="98">
        <v>1250.2441883180309</v>
      </c>
      <c r="BA55" s="100" t="s">
        <v>597</v>
      </c>
      <c r="BB55" s="100" t="s">
        <v>597</v>
      </c>
      <c r="BC55" s="100" t="s">
        <v>597</v>
      </c>
      <c r="BD55" s="158">
        <v>0.7594819640999999</v>
      </c>
      <c r="BE55" s="158">
        <v>1.150119476</v>
      </c>
      <c r="BF55" s="162">
        <v>647</v>
      </c>
      <c r="BG55" s="162">
        <v>612</v>
      </c>
      <c r="BH55" s="162">
        <v>1196</v>
      </c>
      <c r="BI55" s="162">
        <v>609</v>
      </c>
      <c r="BJ55" s="162">
        <v>323</v>
      </c>
      <c r="BK55" s="97"/>
      <c r="BL55" s="97"/>
      <c r="BM55" s="97"/>
      <c r="BN55" s="97"/>
    </row>
    <row r="56" spans="1:66" ht="12.75">
      <c r="A56" s="79" t="s">
        <v>573</v>
      </c>
      <c r="B56" s="79" t="s">
        <v>327</v>
      </c>
      <c r="C56" s="79" t="s">
        <v>266</v>
      </c>
      <c r="D56" s="99">
        <v>2139</v>
      </c>
      <c r="E56" s="99">
        <v>358</v>
      </c>
      <c r="F56" s="99" t="s">
        <v>367</v>
      </c>
      <c r="G56" s="99" t="s">
        <v>597</v>
      </c>
      <c r="H56" s="99" t="s">
        <v>597</v>
      </c>
      <c r="I56" s="99">
        <v>30</v>
      </c>
      <c r="J56" s="99">
        <v>237</v>
      </c>
      <c r="K56" s="99">
        <v>232</v>
      </c>
      <c r="L56" s="99">
        <v>459</v>
      </c>
      <c r="M56" s="99">
        <v>178</v>
      </c>
      <c r="N56" s="99">
        <v>97</v>
      </c>
      <c r="O56" s="99">
        <v>30</v>
      </c>
      <c r="P56" s="159">
        <v>30</v>
      </c>
      <c r="Q56" s="99" t="s">
        <v>597</v>
      </c>
      <c r="R56" s="99" t="s">
        <v>597</v>
      </c>
      <c r="S56" s="99">
        <v>11</v>
      </c>
      <c r="T56" s="99" t="s">
        <v>597</v>
      </c>
      <c r="U56" s="99" t="s">
        <v>597</v>
      </c>
      <c r="V56" s="99">
        <v>11</v>
      </c>
      <c r="W56" s="99">
        <v>11</v>
      </c>
      <c r="X56" s="99" t="s">
        <v>597</v>
      </c>
      <c r="Y56" s="99">
        <v>28</v>
      </c>
      <c r="Z56" s="99">
        <v>10</v>
      </c>
      <c r="AA56" s="99" t="s">
        <v>597</v>
      </c>
      <c r="AB56" s="99" t="s">
        <v>597</v>
      </c>
      <c r="AC56" s="99" t="s">
        <v>597</v>
      </c>
      <c r="AD56" s="98" t="s">
        <v>345</v>
      </c>
      <c r="AE56" s="100">
        <v>0.16736792893875643</v>
      </c>
      <c r="AF56" s="100">
        <v>0.06</v>
      </c>
      <c r="AG56" s="98" t="s">
        <v>597</v>
      </c>
      <c r="AH56" s="98" t="s">
        <v>597</v>
      </c>
      <c r="AI56" s="100">
        <v>0.013999999999999999</v>
      </c>
      <c r="AJ56" s="100">
        <v>0.771987</v>
      </c>
      <c r="AK56" s="100">
        <v>0.789116</v>
      </c>
      <c r="AL56" s="100">
        <v>0.84375</v>
      </c>
      <c r="AM56" s="100">
        <v>0.640288</v>
      </c>
      <c r="AN56" s="100">
        <v>0.702899</v>
      </c>
      <c r="AO56" s="98">
        <v>1402.5245441795232</v>
      </c>
      <c r="AP56" s="158">
        <v>0.7047657012999999</v>
      </c>
      <c r="AQ56" s="100" t="s">
        <v>597</v>
      </c>
      <c r="AR56" s="100" t="s">
        <v>597</v>
      </c>
      <c r="AS56" s="98">
        <v>514.2589995324918</v>
      </c>
      <c r="AT56" s="98" t="s">
        <v>597</v>
      </c>
      <c r="AU56" s="98" t="s">
        <v>597</v>
      </c>
      <c r="AV56" s="98">
        <v>514.2589995324918</v>
      </c>
      <c r="AW56" s="98">
        <v>514.2589995324918</v>
      </c>
      <c r="AX56" s="98" t="s">
        <v>597</v>
      </c>
      <c r="AY56" s="98">
        <v>1309.0229079008882</v>
      </c>
      <c r="AZ56" s="98">
        <v>467.50818139317437</v>
      </c>
      <c r="BA56" s="100" t="s">
        <v>597</v>
      </c>
      <c r="BB56" s="100" t="s">
        <v>597</v>
      </c>
      <c r="BC56" s="100" t="s">
        <v>597</v>
      </c>
      <c r="BD56" s="158">
        <v>0.4755024719</v>
      </c>
      <c r="BE56" s="158">
        <v>1.0060968780000001</v>
      </c>
      <c r="BF56" s="162">
        <v>307</v>
      </c>
      <c r="BG56" s="162">
        <v>294</v>
      </c>
      <c r="BH56" s="162">
        <v>544</v>
      </c>
      <c r="BI56" s="162">
        <v>278</v>
      </c>
      <c r="BJ56" s="162">
        <v>138</v>
      </c>
      <c r="BK56" s="97"/>
      <c r="BL56" s="97"/>
      <c r="BM56" s="97"/>
      <c r="BN56" s="97"/>
    </row>
    <row r="57" spans="1:66" ht="12.75">
      <c r="A57" s="79" t="s">
        <v>550</v>
      </c>
      <c r="B57" s="79" t="s">
        <v>304</v>
      </c>
      <c r="C57" s="79" t="s">
        <v>266</v>
      </c>
      <c r="D57" s="99">
        <v>8044</v>
      </c>
      <c r="E57" s="99">
        <v>1422</v>
      </c>
      <c r="F57" s="99" t="s">
        <v>366</v>
      </c>
      <c r="G57" s="99">
        <v>28</v>
      </c>
      <c r="H57" s="99">
        <v>21</v>
      </c>
      <c r="I57" s="99">
        <v>137</v>
      </c>
      <c r="J57" s="99">
        <v>702</v>
      </c>
      <c r="K57" s="99">
        <v>575</v>
      </c>
      <c r="L57" s="99">
        <v>1635</v>
      </c>
      <c r="M57" s="99">
        <v>468</v>
      </c>
      <c r="N57" s="99">
        <v>236</v>
      </c>
      <c r="O57" s="99">
        <v>160</v>
      </c>
      <c r="P57" s="159">
        <v>160</v>
      </c>
      <c r="Q57" s="99">
        <v>14</v>
      </c>
      <c r="R57" s="99">
        <v>27</v>
      </c>
      <c r="S57" s="99">
        <v>42</v>
      </c>
      <c r="T57" s="99">
        <v>40</v>
      </c>
      <c r="U57" s="99">
        <v>6</v>
      </c>
      <c r="V57" s="99">
        <v>37</v>
      </c>
      <c r="W57" s="99">
        <v>36</v>
      </c>
      <c r="X57" s="99">
        <v>43</v>
      </c>
      <c r="Y57" s="99">
        <v>87</v>
      </c>
      <c r="Z57" s="99">
        <v>41</v>
      </c>
      <c r="AA57" s="99" t="s">
        <v>597</v>
      </c>
      <c r="AB57" s="99" t="s">
        <v>597</v>
      </c>
      <c r="AC57" s="99" t="s">
        <v>597</v>
      </c>
      <c r="AD57" s="98" t="s">
        <v>345</v>
      </c>
      <c r="AE57" s="100">
        <v>0.1767777225261064</v>
      </c>
      <c r="AF57" s="100">
        <v>0.1</v>
      </c>
      <c r="AG57" s="98">
        <v>348.08552958727</v>
      </c>
      <c r="AH57" s="98">
        <v>261.0641471904525</v>
      </c>
      <c r="AI57" s="100">
        <v>0.017</v>
      </c>
      <c r="AJ57" s="100">
        <v>0.685547</v>
      </c>
      <c r="AK57" s="100">
        <v>0.768717</v>
      </c>
      <c r="AL57" s="100">
        <v>0.764733</v>
      </c>
      <c r="AM57" s="100">
        <v>0.565217</v>
      </c>
      <c r="AN57" s="100">
        <v>0.598985</v>
      </c>
      <c r="AO57" s="98">
        <v>1989.0601690701144</v>
      </c>
      <c r="AP57" s="158">
        <v>1.020665207</v>
      </c>
      <c r="AQ57" s="100">
        <v>0.0875</v>
      </c>
      <c r="AR57" s="100">
        <v>0.5185185185185185</v>
      </c>
      <c r="AS57" s="98">
        <v>522.128294380905</v>
      </c>
      <c r="AT57" s="98">
        <v>497.2650422675286</v>
      </c>
      <c r="AU57" s="98">
        <v>74.58975634012928</v>
      </c>
      <c r="AV57" s="98">
        <v>459.97016409746396</v>
      </c>
      <c r="AW57" s="98">
        <v>447.53853804077573</v>
      </c>
      <c r="AX57" s="98">
        <v>534.5599204375933</v>
      </c>
      <c r="AY57" s="98">
        <v>1081.5514669318748</v>
      </c>
      <c r="AZ57" s="98">
        <v>509.69666832421683</v>
      </c>
      <c r="BA57" s="100" t="s">
        <v>597</v>
      </c>
      <c r="BB57" s="100" t="s">
        <v>597</v>
      </c>
      <c r="BC57" s="100" t="s">
        <v>597</v>
      </c>
      <c r="BD57" s="158">
        <v>0.8686403656</v>
      </c>
      <c r="BE57" s="158">
        <v>1.191641617</v>
      </c>
      <c r="BF57" s="162">
        <v>1024</v>
      </c>
      <c r="BG57" s="162">
        <v>748</v>
      </c>
      <c r="BH57" s="162">
        <v>2138</v>
      </c>
      <c r="BI57" s="162">
        <v>828</v>
      </c>
      <c r="BJ57" s="162">
        <v>394</v>
      </c>
      <c r="BK57" s="97"/>
      <c r="BL57" s="97"/>
      <c r="BM57" s="97"/>
      <c r="BN57" s="97"/>
    </row>
    <row r="58" spans="1:66" ht="12.75">
      <c r="A58" s="79" t="s">
        <v>579</v>
      </c>
      <c r="B58" s="79" t="s">
        <v>333</v>
      </c>
      <c r="C58" s="79" t="s">
        <v>266</v>
      </c>
      <c r="D58" s="99">
        <v>1781</v>
      </c>
      <c r="E58" s="99">
        <v>388</v>
      </c>
      <c r="F58" s="99" t="s">
        <v>367</v>
      </c>
      <c r="G58" s="99">
        <v>13</v>
      </c>
      <c r="H58" s="99" t="s">
        <v>597</v>
      </c>
      <c r="I58" s="99">
        <v>34</v>
      </c>
      <c r="J58" s="99">
        <v>217</v>
      </c>
      <c r="K58" s="99">
        <v>41</v>
      </c>
      <c r="L58" s="99">
        <v>318</v>
      </c>
      <c r="M58" s="99">
        <v>160</v>
      </c>
      <c r="N58" s="99">
        <v>83</v>
      </c>
      <c r="O58" s="99">
        <v>44</v>
      </c>
      <c r="P58" s="159">
        <v>44</v>
      </c>
      <c r="Q58" s="99" t="s">
        <v>597</v>
      </c>
      <c r="R58" s="99">
        <v>9</v>
      </c>
      <c r="S58" s="99" t="s">
        <v>597</v>
      </c>
      <c r="T58" s="99">
        <v>7</v>
      </c>
      <c r="U58" s="99" t="s">
        <v>597</v>
      </c>
      <c r="V58" s="99" t="s">
        <v>597</v>
      </c>
      <c r="W58" s="99">
        <v>7</v>
      </c>
      <c r="X58" s="99">
        <v>15</v>
      </c>
      <c r="Y58" s="99">
        <v>24</v>
      </c>
      <c r="Z58" s="99" t="s">
        <v>597</v>
      </c>
      <c r="AA58" s="99" t="s">
        <v>597</v>
      </c>
      <c r="AB58" s="99" t="s">
        <v>597</v>
      </c>
      <c r="AC58" s="99" t="s">
        <v>597</v>
      </c>
      <c r="AD58" s="98" t="s">
        <v>345</v>
      </c>
      <c r="AE58" s="100">
        <v>0.21785513756316677</v>
      </c>
      <c r="AF58" s="100">
        <v>0.07</v>
      </c>
      <c r="AG58" s="98">
        <v>729.92700729927</v>
      </c>
      <c r="AH58" s="98" t="s">
        <v>597</v>
      </c>
      <c r="AI58" s="100">
        <v>0.019</v>
      </c>
      <c r="AJ58" s="100">
        <v>0.789091</v>
      </c>
      <c r="AK58" s="100">
        <v>0.561644</v>
      </c>
      <c r="AL58" s="100">
        <v>0.753555</v>
      </c>
      <c r="AM58" s="100">
        <v>0.610687</v>
      </c>
      <c r="AN58" s="100">
        <v>0.643411</v>
      </c>
      <c r="AO58" s="98">
        <v>2470.5221785513754</v>
      </c>
      <c r="AP58" s="158">
        <v>1.109803238</v>
      </c>
      <c r="AQ58" s="100" t="s">
        <v>597</v>
      </c>
      <c r="AR58" s="100" t="s">
        <v>597</v>
      </c>
      <c r="AS58" s="98" t="s">
        <v>597</v>
      </c>
      <c r="AT58" s="98">
        <v>393.03761931499156</v>
      </c>
      <c r="AU58" s="98" t="s">
        <v>597</v>
      </c>
      <c r="AV58" s="98" t="s">
        <v>597</v>
      </c>
      <c r="AW58" s="98">
        <v>393.03761931499156</v>
      </c>
      <c r="AX58" s="98">
        <v>842.2234699606962</v>
      </c>
      <c r="AY58" s="98">
        <v>1347.5575519371139</v>
      </c>
      <c r="AZ58" s="98" t="s">
        <v>597</v>
      </c>
      <c r="BA58" s="100" t="s">
        <v>597</v>
      </c>
      <c r="BB58" s="100" t="s">
        <v>597</v>
      </c>
      <c r="BC58" s="100" t="s">
        <v>597</v>
      </c>
      <c r="BD58" s="158">
        <v>0.8063847351</v>
      </c>
      <c r="BE58" s="158">
        <v>1.489859009</v>
      </c>
      <c r="BF58" s="162">
        <v>275</v>
      </c>
      <c r="BG58" s="162">
        <v>73</v>
      </c>
      <c r="BH58" s="162">
        <v>422</v>
      </c>
      <c r="BI58" s="162">
        <v>262</v>
      </c>
      <c r="BJ58" s="162">
        <v>129</v>
      </c>
      <c r="BK58" s="97"/>
      <c r="BL58" s="97"/>
      <c r="BM58" s="97"/>
      <c r="BN58" s="97"/>
    </row>
    <row r="59" spans="1:66" ht="12.75">
      <c r="A59" s="79" t="s">
        <v>548</v>
      </c>
      <c r="B59" s="79" t="s">
        <v>302</v>
      </c>
      <c r="C59" s="79" t="s">
        <v>266</v>
      </c>
      <c r="D59" s="99">
        <v>9040</v>
      </c>
      <c r="E59" s="99">
        <v>1912</v>
      </c>
      <c r="F59" s="99" t="s">
        <v>367</v>
      </c>
      <c r="G59" s="99">
        <v>61</v>
      </c>
      <c r="H59" s="99">
        <v>21</v>
      </c>
      <c r="I59" s="99">
        <v>154</v>
      </c>
      <c r="J59" s="99">
        <v>1025</v>
      </c>
      <c r="K59" s="99">
        <v>61</v>
      </c>
      <c r="L59" s="99">
        <v>1671</v>
      </c>
      <c r="M59" s="99">
        <v>705</v>
      </c>
      <c r="N59" s="99">
        <v>365</v>
      </c>
      <c r="O59" s="99">
        <v>131</v>
      </c>
      <c r="P59" s="159">
        <v>131</v>
      </c>
      <c r="Q59" s="99">
        <v>15</v>
      </c>
      <c r="R59" s="99">
        <v>49</v>
      </c>
      <c r="S59" s="99">
        <v>33</v>
      </c>
      <c r="T59" s="99">
        <v>13</v>
      </c>
      <c r="U59" s="99" t="s">
        <v>597</v>
      </c>
      <c r="V59" s="99">
        <v>21</v>
      </c>
      <c r="W59" s="99">
        <v>36</v>
      </c>
      <c r="X59" s="99">
        <v>32</v>
      </c>
      <c r="Y59" s="99">
        <v>106</v>
      </c>
      <c r="Z59" s="99">
        <v>64</v>
      </c>
      <c r="AA59" s="99" t="s">
        <v>597</v>
      </c>
      <c r="AB59" s="99" t="s">
        <v>597</v>
      </c>
      <c r="AC59" s="99" t="s">
        <v>597</v>
      </c>
      <c r="AD59" s="98" t="s">
        <v>345</v>
      </c>
      <c r="AE59" s="100">
        <v>0.21150442477876105</v>
      </c>
      <c r="AF59" s="100">
        <v>0.09</v>
      </c>
      <c r="AG59" s="98">
        <v>674.7787610619469</v>
      </c>
      <c r="AH59" s="98">
        <v>232.30088495575222</v>
      </c>
      <c r="AI59" s="100">
        <v>0.017</v>
      </c>
      <c r="AJ59" s="100">
        <v>0.792117</v>
      </c>
      <c r="AK59" s="100">
        <v>0.398693</v>
      </c>
      <c r="AL59" s="100">
        <v>0.766514</v>
      </c>
      <c r="AM59" s="100">
        <v>0.555118</v>
      </c>
      <c r="AN59" s="100">
        <v>0.583067</v>
      </c>
      <c r="AO59" s="98">
        <v>1449.1150442477876</v>
      </c>
      <c r="AP59" s="158">
        <v>0.6750379180999999</v>
      </c>
      <c r="AQ59" s="100">
        <v>0.11450381679389313</v>
      </c>
      <c r="AR59" s="100">
        <v>0.30612244897959184</v>
      </c>
      <c r="AS59" s="98">
        <v>365.04424778761063</v>
      </c>
      <c r="AT59" s="98">
        <v>143.8053097345133</v>
      </c>
      <c r="AU59" s="98" t="s">
        <v>597</v>
      </c>
      <c r="AV59" s="98">
        <v>232.30088495575222</v>
      </c>
      <c r="AW59" s="98">
        <v>398.2300884955752</v>
      </c>
      <c r="AX59" s="98">
        <v>353.98230088495575</v>
      </c>
      <c r="AY59" s="98">
        <v>1172.5663716814158</v>
      </c>
      <c r="AZ59" s="98">
        <v>707.9646017699115</v>
      </c>
      <c r="BA59" s="100" t="s">
        <v>597</v>
      </c>
      <c r="BB59" s="100" t="s">
        <v>597</v>
      </c>
      <c r="BC59" s="100" t="s">
        <v>597</v>
      </c>
      <c r="BD59" s="158">
        <v>0.5643977737</v>
      </c>
      <c r="BE59" s="158">
        <v>0.8010276794000001</v>
      </c>
      <c r="BF59" s="162">
        <v>1294</v>
      </c>
      <c r="BG59" s="162">
        <v>153</v>
      </c>
      <c r="BH59" s="162">
        <v>2180</v>
      </c>
      <c r="BI59" s="162">
        <v>1270</v>
      </c>
      <c r="BJ59" s="162">
        <v>626</v>
      </c>
      <c r="BK59" s="97"/>
      <c r="BL59" s="97"/>
      <c r="BM59" s="97"/>
      <c r="BN59" s="97"/>
    </row>
    <row r="60" spans="1:66" ht="12.75">
      <c r="A60" s="79" t="s">
        <v>568</v>
      </c>
      <c r="B60" s="79" t="s">
        <v>322</v>
      </c>
      <c r="C60" s="79" t="s">
        <v>266</v>
      </c>
      <c r="D60" s="99">
        <v>3632</v>
      </c>
      <c r="E60" s="99">
        <v>915</v>
      </c>
      <c r="F60" s="99" t="s">
        <v>367</v>
      </c>
      <c r="G60" s="99">
        <v>25</v>
      </c>
      <c r="H60" s="99">
        <v>11</v>
      </c>
      <c r="I60" s="99">
        <v>112</v>
      </c>
      <c r="J60" s="99">
        <v>437</v>
      </c>
      <c r="K60" s="99">
        <v>421</v>
      </c>
      <c r="L60" s="99">
        <v>677</v>
      </c>
      <c r="M60" s="99">
        <v>315</v>
      </c>
      <c r="N60" s="99">
        <v>162</v>
      </c>
      <c r="O60" s="99">
        <v>100</v>
      </c>
      <c r="P60" s="159">
        <v>100</v>
      </c>
      <c r="Q60" s="99">
        <v>22</v>
      </c>
      <c r="R60" s="99">
        <v>34</v>
      </c>
      <c r="S60" s="99">
        <v>12</v>
      </c>
      <c r="T60" s="99">
        <v>22</v>
      </c>
      <c r="U60" s="99" t="s">
        <v>597</v>
      </c>
      <c r="V60" s="99">
        <v>23</v>
      </c>
      <c r="W60" s="99">
        <v>6</v>
      </c>
      <c r="X60" s="99">
        <v>22</v>
      </c>
      <c r="Y60" s="99">
        <v>41</v>
      </c>
      <c r="Z60" s="99">
        <v>35</v>
      </c>
      <c r="AA60" s="99" t="s">
        <v>597</v>
      </c>
      <c r="AB60" s="99" t="s">
        <v>597</v>
      </c>
      <c r="AC60" s="99" t="s">
        <v>597</v>
      </c>
      <c r="AD60" s="98" t="s">
        <v>345</v>
      </c>
      <c r="AE60" s="100">
        <v>0.25192731277533037</v>
      </c>
      <c r="AF60" s="100">
        <v>0.08</v>
      </c>
      <c r="AG60" s="98">
        <v>688.3259911894273</v>
      </c>
      <c r="AH60" s="98">
        <v>302.86343612334804</v>
      </c>
      <c r="AI60" s="100">
        <v>0.031</v>
      </c>
      <c r="AJ60" s="100">
        <v>0.780357</v>
      </c>
      <c r="AK60" s="100">
        <v>0.789869</v>
      </c>
      <c r="AL60" s="100">
        <v>0.785383</v>
      </c>
      <c r="AM60" s="100">
        <v>0.588785</v>
      </c>
      <c r="AN60" s="100">
        <v>0.632813</v>
      </c>
      <c r="AO60" s="98">
        <v>2753.3039647577093</v>
      </c>
      <c r="AP60" s="158">
        <v>1.177069626</v>
      </c>
      <c r="AQ60" s="100">
        <v>0.22</v>
      </c>
      <c r="AR60" s="100">
        <v>0.6470588235294118</v>
      </c>
      <c r="AS60" s="98">
        <v>330.3964757709251</v>
      </c>
      <c r="AT60" s="98">
        <v>605.7268722466961</v>
      </c>
      <c r="AU60" s="98" t="s">
        <v>597</v>
      </c>
      <c r="AV60" s="98">
        <v>633.2599118942732</v>
      </c>
      <c r="AW60" s="98">
        <v>165.19823788546256</v>
      </c>
      <c r="AX60" s="98">
        <v>605.7268722466961</v>
      </c>
      <c r="AY60" s="98">
        <v>1128.8546255506608</v>
      </c>
      <c r="AZ60" s="98">
        <v>963.6563876651983</v>
      </c>
      <c r="BA60" s="100" t="s">
        <v>597</v>
      </c>
      <c r="BB60" s="100" t="s">
        <v>597</v>
      </c>
      <c r="BC60" s="100" t="s">
        <v>597</v>
      </c>
      <c r="BD60" s="158">
        <v>0.9577108765</v>
      </c>
      <c r="BE60" s="158">
        <v>1.43163208</v>
      </c>
      <c r="BF60" s="162">
        <v>560</v>
      </c>
      <c r="BG60" s="162">
        <v>533</v>
      </c>
      <c r="BH60" s="162">
        <v>862</v>
      </c>
      <c r="BI60" s="162">
        <v>535</v>
      </c>
      <c r="BJ60" s="162">
        <v>256</v>
      </c>
      <c r="BK60" s="97"/>
      <c r="BL60" s="97"/>
      <c r="BM60" s="97"/>
      <c r="BN60" s="97"/>
    </row>
    <row r="61" spans="1:66" ht="12.75">
      <c r="A61" s="79" t="s">
        <v>576</v>
      </c>
      <c r="B61" s="79" t="s">
        <v>330</v>
      </c>
      <c r="C61" s="79" t="s">
        <v>266</v>
      </c>
      <c r="D61" s="99">
        <v>3352</v>
      </c>
      <c r="E61" s="99">
        <v>594</v>
      </c>
      <c r="F61" s="99" t="s">
        <v>367</v>
      </c>
      <c r="G61" s="99">
        <v>14</v>
      </c>
      <c r="H61" s="99">
        <v>12</v>
      </c>
      <c r="I61" s="99">
        <v>40</v>
      </c>
      <c r="J61" s="99">
        <v>338</v>
      </c>
      <c r="K61" s="99" t="s">
        <v>597</v>
      </c>
      <c r="L61" s="99">
        <v>729</v>
      </c>
      <c r="M61" s="99">
        <v>275</v>
      </c>
      <c r="N61" s="99">
        <v>139</v>
      </c>
      <c r="O61" s="99">
        <v>36</v>
      </c>
      <c r="P61" s="159">
        <v>36</v>
      </c>
      <c r="Q61" s="99">
        <v>7</v>
      </c>
      <c r="R61" s="99">
        <v>19</v>
      </c>
      <c r="S61" s="99" t="s">
        <v>597</v>
      </c>
      <c r="T61" s="99" t="s">
        <v>597</v>
      </c>
      <c r="U61" s="99" t="s">
        <v>597</v>
      </c>
      <c r="V61" s="99">
        <v>8</v>
      </c>
      <c r="W61" s="99">
        <v>24</v>
      </c>
      <c r="X61" s="99">
        <v>9</v>
      </c>
      <c r="Y61" s="99">
        <v>26</v>
      </c>
      <c r="Z61" s="99">
        <v>12</v>
      </c>
      <c r="AA61" s="99" t="s">
        <v>597</v>
      </c>
      <c r="AB61" s="99" t="s">
        <v>597</v>
      </c>
      <c r="AC61" s="99" t="s">
        <v>597</v>
      </c>
      <c r="AD61" s="98" t="s">
        <v>345</v>
      </c>
      <c r="AE61" s="100">
        <v>0.17720763723150357</v>
      </c>
      <c r="AF61" s="100">
        <v>0.06</v>
      </c>
      <c r="AG61" s="98">
        <v>417.66109785202866</v>
      </c>
      <c r="AH61" s="98">
        <v>357.99522673031026</v>
      </c>
      <c r="AI61" s="100">
        <v>0.012</v>
      </c>
      <c r="AJ61" s="100">
        <v>0.739606</v>
      </c>
      <c r="AK61" s="100" t="s">
        <v>597</v>
      </c>
      <c r="AL61" s="100">
        <v>0.831243</v>
      </c>
      <c r="AM61" s="100">
        <v>0.601751</v>
      </c>
      <c r="AN61" s="100">
        <v>0.601732</v>
      </c>
      <c r="AO61" s="98">
        <v>1073.9856801909307</v>
      </c>
      <c r="AP61" s="158">
        <v>0.5352930832</v>
      </c>
      <c r="AQ61" s="100">
        <v>0.19444444444444445</v>
      </c>
      <c r="AR61" s="100">
        <v>0.3684210526315789</v>
      </c>
      <c r="AS61" s="98" t="s">
        <v>597</v>
      </c>
      <c r="AT61" s="98" t="s">
        <v>597</v>
      </c>
      <c r="AU61" s="98" t="s">
        <v>597</v>
      </c>
      <c r="AV61" s="98">
        <v>238.6634844868735</v>
      </c>
      <c r="AW61" s="98">
        <v>715.9904534606205</v>
      </c>
      <c r="AX61" s="98">
        <v>268.49642004773267</v>
      </c>
      <c r="AY61" s="98">
        <v>775.6563245823389</v>
      </c>
      <c r="AZ61" s="98">
        <v>357.99522673031026</v>
      </c>
      <c r="BA61" s="100" t="s">
        <v>597</v>
      </c>
      <c r="BB61" s="100" t="s">
        <v>597</v>
      </c>
      <c r="BC61" s="100" t="s">
        <v>597</v>
      </c>
      <c r="BD61" s="158">
        <v>0.37491268159999996</v>
      </c>
      <c r="BE61" s="158">
        <v>0.7410712433000001</v>
      </c>
      <c r="BF61" s="162">
        <v>457</v>
      </c>
      <c r="BG61" s="162" t="s">
        <v>597</v>
      </c>
      <c r="BH61" s="162">
        <v>877</v>
      </c>
      <c r="BI61" s="162">
        <v>457</v>
      </c>
      <c r="BJ61" s="162">
        <v>231</v>
      </c>
      <c r="BK61" s="97"/>
      <c r="BL61" s="97"/>
      <c r="BM61" s="97"/>
      <c r="BN61" s="97"/>
    </row>
    <row r="62" spans="1:66" ht="12.75">
      <c r="A62" s="79" t="s">
        <v>554</v>
      </c>
      <c r="B62" s="79" t="s">
        <v>308</v>
      </c>
      <c r="C62" s="79" t="s">
        <v>266</v>
      </c>
      <c r="D62" s="99">
        <v>18289</v>
      </c>
      <c r="E62" s="99">
        <v>3264</v>
      </c>
      <c r="F62" s="99" t="s">
        <v>366</v>
      </c>
      <c r="G62" s="99">
        <v>100</v>
      </c>
      <c r="H62" s="99">
        <v>43</v>
      </c>
      <c r="I62" s="99">
        <v>347</v>
      </c>
      <c r="J62" s="99">
        <v>1798</v>
      </c>
      <c r="K62" s="99">
        <v>1715</v>
      </c>
      <c r="L62" s="99">
        <v>3363</v>
      </c>
      <c r="M62" s="99">
        <v>1255</v>
      </c>
      <c r="N62" s="99">
        <v>676</v>
      </c>
      <c r="O62" s="99">
        <v>241</v>
      </c>
      <c r="P62" s="159">
        <v>241</v>
      </c>
      <c r="Q62" s="99">
        <v>37</v>
      </c>
      <c r="R62" s="99">
        <v>110</v>
      </c>
      <c r="S62" s="99">
        <v>44</v>
      </c>
      <c r="T62" s="99">
        <v>35</v>
      </c>
      <c r="U62" s="99">
        <v>10</v>
      </c>
      <c r="V62" s="99">
        <v>63</v>
      </c>
      <c r="W62" s="99">
        <v>115</v>
      </c>
      <c r="X62" s="99">
        <v>50</v>
      </c>
      <c r="Y62" s="99">
        <v>232</v>
      </c>
      <c r="Z62" s="99">
        <v>98</v>
      </c>
      <c r="AA62" s="99" t="s">
        <v>597</v>
      </c>
      <c r="AB62" s="99" t="s">
        <v>597</v>
      </c>
      <c r="AC62" s="99" t="s">
        <v>597</v>
      </c>
      <c r="AD62" s="98" t="s">
        <v>345</v>
      </c>
      <c r="AE62" s="100">
        <v>0.17846793154355076</v>
      </c>
      <c r="AF62" s="100">
        <v>0.11</v>
      </c>
      <c r="AG62" s="98">
        <v>546.7767510525453</v>
      </c>
      <c r="AH62" s="98">
        <v>235.11400295259446</v>
      </c>
      <c r="AI62" s="100">
        <v>0.019</v>
      </c>
      <c r="AJ62" s="100">
        <v>0.771343</v>
      </c>
      <c r="AK62" s="100">
        <v>0.76087</v>
      </c>
      <c r="AL62" s="100">
        <v>0.758971</v>
      </c>
      <c r="AM62" s="100">
        <v>0.567616</v>
      </c>
      <c r="AN62" s="100">
        <v>0.592982</v>
      </c>
      <c r="AO62" s="98">
        <v>1317.731970036634</v>
      </c>
      <c r="AP62" s="158">
        <v>0.6858227539</v>
      </c>
      <c r="AQ62" s="100">
        <v>0.15352697095435686</v>
      </c>
      <c r="AR62" s="100">
        <v>0.33636363636363636</v>
      </c>
      <c r="AS62" s="98">
        <v>240.5817704631199</v>
      </c>
      <c r="AT62" s="98">
        <v>191.37186286839085</v>
      </c>
      <c r="AU62" s="98">
        <v>54.67767510525452</v>
      </c>
      <c r="AV62" s="98">
        <v>344.4693531631035</v>
      </c>
      <c r="AW62" s="98">
        <v>628.793263710427</v>
      </c>
      <c r="AX62" s="98">
        <v>273.3883755262726</v>
      </c>
      <c r="AY62" s="98">
        <v>1268.522062441905</v>
      </c>
      <c r="AZ62" s="98">
        <v>535.8412160314944</v>
      </c>
      <c r="BA62" s="100" t="s">
        <v>597</v>
      </c>
      <c r="BB62" s="100" t="s">
        <v>597</v>
      </c>
      <c r="BC62" s="100" t="s">
        <v>597</v>
      </c>
      <c r="BD62" s="158">
        <v>0.6019620513999999</v>
      </c>
      <c r="BE62" s="158">
        <v>0.7780978394</v>
      </c>
      <c r="BF62" s="162">
        <v>2331</v>
      </c>
      <c r="BG62" s="162">
        <v>2254</v>
      </c>
      <c r="BH62" s="162">
        <v>4431</v>
      </c>
      <c r="BI62" s="162">
        <v>2211</v>
      </c>
      <c r="BJ62" s="162">
        <v>1140</v>
      </c>
      <c r="BK62" s="97"/>
      <c r="BL62" s="97"/>
      <c r="BM62" s="97"/>
      <c r="BN62" s="97"/>
    </row>
    <row r="63" spans="1:66" ht="12.75">
      <c r="A63" s="79" t="s">
        <v>529</v>
      </c>
      <c r="B63" s="79" t="s">
        <v>283</v>
      </c>
      <c r="C63" s="79" t="s">
        <v>266</v>
      </c>
      <c r="D63" s="99">
        <v>6494</v>
      </c>
      <c r="E63" s="99">
        <v>1468</v>
      </c>
      <c r="F63" s="99" t="s">
        <v>367</v>
      </c>
      <c r="G63" s="99">
        <v>39</v>
      </c>
      <c r="H63" s="99">
        <v>20</v>
      </c>
      <c r="I63" s="99">
        <v>217</v>
      </c>
      <c r="J63" s="99">
        <v>833</v>
      </c>
      <c r="K63" s="99">
        <v>112</v>
      </c>
      <c r="L63" s="99">
        <v>1325</v>
      </c>
      <c r="M63" s="99">
        <v>643</v>
      </c>
      <c r="N63" s="99">
        <v>332</v>
      </c>
      <c r="O63" s="99">
        <v>152</v>
      </c>
      <c r="P63" s="159">
        <v>152</v>
      </c>
      <c r="Q63" s="99">
        <v>21</v>
      </c>
      <c r="R63" s="99">
        <v>49</v>
      </c>
      <c r="S63" s="99">
        <v>35</v>
      </c>
      <c r="T63" s="99">
        <v>38</v>
      </c>
      <c r="U63" s="99" t="s">
        <v>597</v>
      </c>
      <c r="V63" s="99">
        <v>36</v>
      </c>
      <c r="W63" s="99">
        <v>33</v>
      </c>
      <c r="X63" s="99">
        <v>44</v>
      </c>
      <c r="Y63" s="99">
        <v>74</v>
      </c>
      <c r="Z63" s="99">
        <v>51</v>
      </c>
      <c r="AA63" s="99" t="s">
        <v>597</v>
      </c>
      <c r="AB63" s="99" t="s">
        <v>597</v>
      </c>
      <c r="AC63" s="99" t="s">
        <v>597</v>
      </c>
      <c r="AD63" s="98" t="s">
        <v>345</v>
      </c>
      <c r="AE63" s="100">
        <v>0.22605481983369263</v>
      </c>
      <c r="AF63" s="100">
        <v>0.05</v>
      </c>
      <c r="AG63" s="98">
        <v>600.554357868802</v>
      </c>
      <c r="AH63" s="98">
        <v>307.9765937788728</v>
      </c>
      <c r="AI63" s="100">
        <v>0.033</v>
      </c>
      <c r="AJ63" s="100">
        <v>0.791073</v>
      </c>
      <c r="AK63" s="100">
        <v>0.629213</v>
      </c>
      <c r="AL63" s="100">
        <v>0.834383</v>
      </c>
      <c r="AM63" s="100">
        <v>0.633498</v>
      </c>
      <c r="AN63" s="100">
        <v>0.665331</v>
      </c>
      <c r="AO63" s="98">
        <v>2340.6221127194335</v>
      </c>
      <c r="AP63" s="158">
        <v>1.041407166</v>
      </c>
      <c r="AQ63" s="100">
        <v>0.13815789473684212</v>
      </c>
      <c r="AR63" s="100">
        <v>0.42857142857142855</v>
      </c>
      <c r="AS63" s="98">
        <v>538.9590391130274</v>
      </c>
      <c r="AT63" s="98">
        <v>585.1555281798584</v>
      </c>
      <c r="AU63" s="98" t="s">
        <v>597</v>
      </c>
      <c r="AV63" s="98">
        <v>554.357868801971</v>
      </c>
      <c r="AW63" s="98">
        <v>508.16137973514014</v>
      </c>
      <c r="AX63" s="98">
        <v>677.5485063135202</v>
      </c>
      <c r="AY63" s="98">
        <v>1139.5133969818294</v>
      </c>
      <c r="AZ63" s="98">
        <v>785.3403141361257</v>
      </c>
      <c r="BA63" s="100" t="s">
        <v>597</v>
      </c>
      <c r="BB63" s="100" t="s">
        <v>597</v>
      </c>
      <c r="BC63" s="100" t="s">
        <v>597</v>
      </c>
      <c r="BD63" s="158">
        <v>0.8824320221</v>
      </c>
      <c r="BE63" s="158">
        <v>1.220750046</v>
      </c>
      <c r="BF63" s="162">
        <v>1053</v>
      </c>
      <c r="BG63" s="162">
        <v>178</v>
      </c>
      <c r="BH63" s="162">
        <v>1588</v>
      </c>
      <c r="BI63" s="162">
        <v>1015</v>
      </c>
      <c r="BJ63" s="162">
        <v>499</v>
      </c>
      <c r="BK63" s="97"/>
      <c r="BL63" s="97"/>
      <c r="BM63" s="97"/>
      <c r="BN63" s="97"/>
    </row>
    <row r="64" spans="1:66" ht="12.75">
      <c r="A64" s="79" t="s">
        <v>558</v>
      </c>
      <c r="B64" s="79" t="s">
        <v>312</v>
      </c>
      <c r="C64" s="79" t="s">
        <v>266</v>
      </c>
      <c r="D64" s="99">
        <v>6180</v>
      </c>
      <c r="E64" s="99">
        <v>912</v>
      </c>
      <c r="F64" s="99" t="s">
        <v>366</v>
      </c>
      <c r="G64" s="99">
        <v>24</v>
      </c>
      <c r="H64" s="99">
        <v>11</v>
      </c>
      <c r="I64" s="99">
        <v>90</v>
      </c>
      <c r="J64" s="99">
        <v>520</v>
      </c>
      <c r="K64" s="99" t="s">
        <v>597</v>
      </c>
      <c r="L64" s="99">
        <v>1191</v>
      </c>
      <c r="M64" s="99">
        <v>353</v>
      </c>
      <c r="N64" s="99">
        <v>165</v>
      </c>
      <c r="O64" s="99">
        <v>54</v>
      </c>
      <c r="P64" s="159">
        <v>54</v>
      </c>
      <c r="Q64" s="99">
        <v>12</v>
      </c>
      <c r="R64" s="99">
        <v>21</v>
      </c>
      <c r="S64" s="99">
        <v>11</v>
      </c>
      <c r="T64" s="99">
        <v>16</v>
      </c>
      <c r="U64" s="99">
        <v>6</v>
      </c>
      <c r="V64" s="99">
        <v>11</v>
      </c>
      <c r="W64" s="99">
        <v>31</v>
      </c>
      <c r="X64" s="99">
        <v>11</v>
      </c>
      <c r="Y64" s="99">
        <v>52</v>
      </c>
      <c r="Z64" s="99">
        <v>28</v>
      </c>
      <c r="AA64" s="99" t="s">
        <v>597</v>
      </c>
      <c r="AB64" s="99" t="s">
        <v>597</v>
      </c>
      <c r="AC64" s="99" t="s">
        <v>597</v>
      </c>
      <c r="AD64" s="98" t="s">
        <v>345</v>
      </c>
      <c r="AE64" s="100">
        <v>0.14757281553398058</v>
      </c>
      <c r="AF64" s="100">
        <v>0.12</v>
      </c>
      <c r="AG64" s="98">
        <v>388.3495145631068</v>
      </c>
      <c r="AH64" s="98">
        <v>177.9935275080906</v>
      </c>
      <c r="AI64" s="100">
        <v>0.015</v>
      </c>
      <c r="AJ64" s="100">
        <v>0.695187</v>
      </c>
      <c r="AK64" s="100" t="s">
        <v>597</v>
      </c>
      <c r="AL64" s="100">
        <v>0.779961</v>
      </c>
      <c r="AM64" s="100">
        <v>0.529235</v>
      </c>
      <c r="AN64" s="100">
        <v>0.522152</v>
      </c>
      <c r="AO64" s="98">
        <v>873.7864077669902</v>
      </c>
      <c r="AP64" s="158">
        <v>0.4844574356</v>
      </c>
      <c r="AQ64" s="100">
        <v>0.2222222222222222</v>
      </c>
      <c r="AR64" s="100">
        <v>0.5714285714285714</v>
      </c>
      <c r="AS64" s="98">
        <v>177.9935275080906</v>
      </c>
      <c r="AT64" s="98">
        <v>258.8996763754045</v>
      </c>
      <c r="AU64" s="98">
        <v>97.0873786407767</v>
      </c>
      <c r="AV64" s="98">
        <v>177.9935275080906</v>
      </c>
      <c r="AW64" s="98">
        <v>501.6181229773463</v>
      </c>
      <c r="AX64" s="98">
        <v>177.9935275080906</v>
      </c>
      <c r="AY64" s="98">
        <v>841.4239482200647</v>
      </c>
      <c r="AZ64" s="98">
        <v>453.0744336569579</v>
      </c>
      <c r="BA64" s="101" t="s">
        <v>597</v>
      </c>
      <c r="BB64" s="101" t="s">
        <v>597</v>
      </c>
      <c r="BC64" s="101" t="s">
        <v>597</v>
      </c>
      <c r="BD64" s="158">
        <v>0.3639393234</v>
      </c>
      <c r="BE64" s="158">
        <v>0.6321118546000001</v>
      </c>
      <c r="BF64" s="162">
        <v>748</v>
      </c>
      <c r="BG64" s="162" t="s">
        <v>597</v>
      </c>
      <c r="BH64" s="162">
        <v>1527</v>
      </c>
      <c r="BI64" s="162">
        <v>667</v>
      </c>
      <c r="BJ64" s="162">
        <v>316</v>
      </c>
      <c r="BK64" s="97"/>
      <c r="BL64" s="97"/>
      <c r="BM64" s="97"/>
      <c r="BN64" s="97"/>
    </row>
    <row r="65" spans="1:66" ht="12.75">
      <c r="A65" s="79" t="s">
        <v>570</v>
      </c>
      <c r="B65" s="79" t="s">
        <v>324</v>
      </c>
      <c r="C65" s="79" t="s">
        <v>266</v>
      </c>
      <c r="D65" s="99">
        <v>3264</v>
      </c>
      <c r="E65" s="99">
        <v>748</v>
      </c>
      <c r="F65" s="99" t="s">
        <v>367</v>
      </c>
      <c r="G65" s="99">
        <v>14</v>
      </c>
      <c r="H65" s="99">
        <v>8</v>
      </c>
      <c r="I65" s="99">
        <v>81</v>
      </c>
      <c r="J65" s="99">
        <v>342</v>
      </c>
      <c r="K65" s="99">
        <v>72</v>
      </c>
      <c r="L65" s="99">
        <v>620</v>
      </c>
      <c r="M65" s="99">
        <v>231</v>
      </c>
      <c r="N65" s="99">
        <v>133</v>
      </c>
      <c r="O65" s="99">
        <v>115</v>
      </c>
      <c r="P65" s="159">
        <v>115</v>
      </c>
      <c r="Q65" s="99">
        <v>11</v>
      </c>
      <c r="R65" s="99">
        <v>26</v>
      </c>
      <c r="S65" s="99">
        <v>20</v>
      </c>
      <c r="T65" s="99">
        <v>25</v>
      </c>
      <c r="U65" s="99" t="s">
        <v>597</v>
      </c>
      <c r="V65" s="99">
        <v>30</v>
      </c>
      <c r="W65" s="99">
        <v>14</v>
      </c>
      <c r="X65" s="99">
        <v>32</v>
      </c>
      <c r="Y65" s="99">
        <v>53</v>
      </c>
      <c r="Z65" s="99">
        <v>33</v>
      </c>
      <c r="AA65" s="99" t="s">
        <v>597</v>
      </c>
      <c r="AB65" s="99" t="s">
        <v>597</v>
      </c>
      <c r="AC65" s="99" t="s">
        <v>597</v>
      </c>
      <c r="AD65" s="98" t="s">
        <v>345</v>
      </c>
      <c r="AE65" s="100">
        <v>0.22916666666666666</v>
      </c>
      <c r="AF65" s="100">
        <v>0.08</v>
      </c>
      <c r="AG65" s="98">
        <v>428.921568627451</v>
      </c>
      <c r="AH65" s="98">
        <v>245.09803921568627</v>
      </c>
      <c r="AI65" s="100">
        <v>0.025</v>
      </c>
      <c r="AJ65" s="100">
        <v>0.773756</v>
      </c>
      <c r="AK65" s="100">
        <v>0.553846</v>
      </c>
      <c r="AL65" s="100">
        <v>0.796915</v>
      </c>
      <c r="AM65" s="100">
        <v>0.553957</v>
      </c>
      <c r="AN65" s="100">
        <v>0.575758</v>
      </c>
      <c r="AO65" s="98">
        <v>3523.2843137254904</v>
      </c>
      <c r="AP65" s="158">
        <v>1.6047291559999999</v>
      </c>
      <c r="AQ65" s="100">
        <v>0.09565217391304348</v>
      </c>
      <c r="AR65" s="100">
        <v>0.4230769230769231</v>
      </c>
      <c r="AS65" s="98">
        <v>612.7450980392157</v>
      </c>
      <c r="AT65" s="98">
        <v>765.9313725490196</v>
      </c>
      <c r="AU65" s="98" t="s">
        <v>597</v>
      </c>
      <c r="AV65" s="98">
        <v>919.1176470588235</v>
      </c>
      <c r="AW65" s="98">
        <v>428.921568627451</v>
      </c>
      <c r="AX65" s="98">
        <v>980.3921568627451</v>
      </c>
      <c r="AY65" s="98">
        <v>1623.7745098039215</v>
      </c>
      <c r="AZ65" s="98">
        <v>1011.0294117647059</v>
      </c>
      <c r="BA65" s="101" t="s">
        <v>597</v>
      </c>
      <c r="BB65" s="101" t="s">
        <v>597</v>
      </c>
      <c r="BC65" s="101" t="s">
        <v>597</v>
      </c>
      <c r="BD65" s="158">
        <v>1.3248684689999999</v>
      </c>
      <c r="BE65" s="158">
        <v>1.926234283</v>
      </c>
      <c r="BF65" s="162">
        <v>442</v>
      </c>
      <c r="BG65" s="162">
        <v>130</v>
      </c>
      <c r="BH65" s="162">
        <v>778</v>
      </c>
      <c r="BI65" s="162">
        <v>417</v>
      </c>
      <c r="BJ65" s="162">
        <v>231</v>
      </c>
      <c r="BK65" s="97"/>
      <c r="BL65" s="97"/>
      <c r="BM65" s="97"/>
      <c r="BN65" s="97"/>
    </row>
    <row r="66" spans="1:66" ht="12.75">
      <c r="A66" s="79" t="s">
        <v>267</v>
      </c>
      <c r="B66" s="94" t="s">
        <v>266</v>
      </c>
      <c r="C66" s="94" t="s">
        <v>7</v>
      </c>
      <c r="D66" s="99">
        <v>462395</v>
      </c>
      <c r="E66" s="99">
        <v>86460</v>
      </c>
      <c r="F66" s="99">
        <v>41123.06999999999</v>
      </c>
      <c r="G66" s="99">
        <v>2169</v>
      </c>
      <c r="H66" s="99">
        <v>1148</v>
      </c>
      <c r="I66" s="99">
        <v>8903</v>
      </c>
      <c r="J66" s="99">
        <v>46556</v>
      </c>
      <c r="K66" s="99">
        <v>18068</v>
      </c>
      <c r="L66" s="99">
        <v>88962</v>
      </c>
      <c r="M66" s="99">
        <v>33846</v>
      </c>
      <c r="N66" s="99">
        <v>17660</v>
      </c>
      <c r="O66" s="99">
        <v>7440</v>
      </c>
      <c r="P66" s="99">
        <v>7440</v>
      </c>
      <c r="Q66" s="99">
        <v>969</v>
      </c>
      <c r="R66" s="99">
        <v>2404</v>
      </c>
      <c r="S66" s="99">
        <v>1537</v>
      </c>
      <c r="T66" s="99">
        <v>1437</v>
      </c>
      <c r="U66" s="99">
        <v>278</v>
      </c>
      <c r="V66" s="99">
        <v>1522</v>
      </c>
      <c r="W66" s="99">
        <v>2456</v>
      </c>
      <c r="X66" s="99">
        <v>1577</v>
      </c>
      <c r="Y66" s="99">
        <v>5227</v>
      </c>
      <c r="Z66" s="99">
        <v>2864</v>
      </c>
      <c r="AA66" s="99">
        <v>0</v>
      </c>
      <c r="AB66" s="99">
        <v>0</v>
      </c>
      <c r="AC66" s="99">
        <v>0</v>
      </c>
      <c r="AD66" s="98">
        <v>0</v>
      </c>
      <c r="AE66" s="101">
        <v>0.1869829907330313</v>
      </c>
      <c r="AF66" s="101">
        <v>0.08893493658019656</v>
      </c>
      <c r="AG66" s="98">
        <v>469.07946668973494</v>
      </c>
      <c r="AH66" s="98">
        <v>248.27258080212806</v>
      </c>
      <c r="AI66" s="101">
        <v>0.01925410093102218</v>
      </c>
      <c r="AJ66" s="101">
        <v>0.7454207762264634</v>
      </c>
      <c r="AK66" s="101">
        <v>0.7681319615678939</v>
      </c>
      <c r="AL66" s="101">
        <v>0.7783610688225103</v>
      </c>
      <c r="AM66" s="101">
        <v>0.5920962860591641</v>
      </c>
      <c r="AN66" s="101">
        <v>0.61211049876954</v>
      </c>
      <c r="AO66" s="98">
        <v>1609.0139382995058</v>
      </c>
      <c r="AP66" s="98">
        <v>0</v>
      </c>
      <c r="AQ66" s="101">
        <v>0.13024193548387097</v>
      </c>
      <c r="AR66" s="101">
        <v>0.4030782029950083</v>
      </c>
      <c r="AS66" s="98">
        <v>332.399788059992</v>
      </c>
      <c r="AT66" s="98">
        <v>310.7732566312352</v>
      </c>
      <c r="AU66" s="98">
        <v>60.1217573719439</v>
      </c>
      <c r="AV66" s="98">
        <v>329.15580834567845</v>
      </c>
      <c r="AW66" s="98">
        <v>531.147611890267</v>
      </c>
      <c r="AX66" s="98">
        <v>341.0504006314947</v>
      </c>
      <c r="AY66" s="98">
        <v>1130.418797781118</v>
      </c>
      <c r="AZ66" s="98">
        <v>619.3838601195947</v>
      </c>
      <c r="BA66" s="101">
        <v>0</v>
      </c>
      <c r="BB66" s="101">
        <v>0</v>
      </c>
      <c r="BC66" s="101">
        <v>0</v>
      </c>
      <c r="BD66" s="98">
        <v>0</v>
      </c>
      <c r="BE66" s="98">
        <v>0</v>
      </c>
      <c r="BF66" s="99">
        <v>62456</v>
      </c>
      <c r="BG66" s="99">
        <v>23522</v>
      </c>
      <c r="BH66" s="99">
        <v>114294</v>
      </c>
      <c r="BI66" s="99">
        <v>57163</v>
      </c>
      <c r="BJ66" s="99">
        <v>28851</v>
      </c>
      <c r="BK66" s="97"/>
      <c r="BL66" s="97"/>
      <c r="BM66" s="97"/>
      <c r="BN66" s="97"/>
    </row>
    <row r="67" spans="1:66" ht="12.75">
      <c r="A67" s="79" t="s">
        <v>24</v>
      </c>
      <c r="B67" s="94" t="s">
        <v>7</v>
      </c>
      <c r="C67" s="94" t="s">
        <v>7</v>
      </c>
      <c r="D67" s="99">
        <v>54615830</v>
      </c>
      <c r="E67" s="99">
        <v>8737890</v>
      </c>
      <c r="F67" s="99">
        <v>8198344.169999988</v>
      </c>
      <c r="G67" s="99">
        <v>243379</v>
      </c>
      <c r="H67" s="99">
        <v>127868</v>
      </c>
      <c r="I67" s="99">
        <v>870616</v>
      </c>
      <c r="J67" s="99">
        <v>4592627</v>
      </c>
      <c r="K67" s="99">
        <v>1679592</v>
      </c>
      <c r="L67" s="99">
        <v>10150944</v>
      </c>
      <c r="M67" s="99">
        <v>2959539</v>
      </c>
      <c r="N67" s="99">
        <v>1629320</v>
      </c>
      <c r="O67" s="99">
        <v>989730</v>
      </c>
      <c r="P67" s="99">
        <v>989730</v>
      </c>
      <c r="Q67" s="99">
        <v>108072</v>
      </c>
      <c r="R67" s="99">
        <v>238330</v>
      </c>
      <c r="S67" s="99">
        <v>206300</v>
      </c>
      <c r="T67" s="99">
        <v>154264</v>
      </c>
      <c r="U67" s="99">
        <v>38486</v>
      </c>
      <c r="V67" s="99">
        <v>176535</v>
      </c>
      <c r="W67" s="99">
        <v>307276</v>
      </c>
      <c r="X67" s="99">
        <v>221506</v>
      </c>
      <c r="Y67" s="99">
        <v>578574</v>
      </c>
      <c r="Z67" s="99">
        <v>318377</v>
      </c>
      <c r="AA67" s="99">
        <v>0</v>
      </c>
      <c r="AB67" s="99">
        <v>0</v>
      </c>
      <c r="AC67" s="99">
        <v>0</v>
      </c>
      <c r="AD67" s="98">
        <v>0</v>
      </c>
      <c r="AE67" s="101">
        <v>0.1599882305185145</v>
      </c>
      <c r="AF67" s="101">
        <v>0.15010930292554353</v>
      </c>
      <c r="AG67" s="98">
        <v>445.6198871279627</v>
      </c>
      <c r="AH67" s="98">
        <v>234.12259778895606</v>
      </c>
      <c r="AI67" s="101">
        <v>0.015940726342527432</v>
      </c>
      <c r="AJ67" s="101">
        <v>0.7248631360507991</v>
      </c>
      <c r="AK67" s="101">
        <v>0.7467412166569077</v>
      </c>
      <c r="AL67" s="101">
        <v>0.7559681673907895</v>
      </c>
      <c r="AM67" s="101">
        <v>0.5147293797466616</v>
      </c>
      <c r="AN67" s="101">
        <v>0.5752927626212945</v>
      </c>
      <c r="AO67" s="98">
        <v>1812.1669120472948</v>
      </c>
      <c r="AP67" s="98">
        <v>1</v>
      </c>
      <c r="AQ67" s="101">
        <v>0.10919341638628717</v>
      </c>
      <c r="AR67" s="101">
        <v>0.4534552930810221</v>
      </c>
      <c r="AS67" s="98">
        <v>377.7293140102421</v>
      </c>
      <c r="AT67" s="98">
        <v>282.45290788403287</v>
      </c>
      <c r="AU67" s="98">
        <v>70.46674929228394</v>
      </c>
      <c r="AV67" s="98">
        <v>323.23046266988894</v>
      </c>
      <c r="AW67" s="98">
        <v>562.6134400960308</v>
      </c>
      <c r="AX67" s="98">
        <v>405.57105879375996</v>
      </c>
      <c r="AY67" s="98">
        <v>1059.3522061277838</v>
      </c>
      <c r="AZ67" s="98">
        <v>582.9390489900089</v>
      </c>
      <c r="BA67" s="101">
        <v>0</v>
      </c>
      <c r="BB67" s="101">
        <v>0</v>
      </c>
      <c r="BC67" s="101">
        <v>0</v>
      </c>
      <c r="BD67" s="98">
        <v>0</v>
      </c>
      <c r="BE67" s="98">
        <v>0</v>
      </c>
      <c r="BF67" s="99">
        <v>6335854</v>
      </c>
      <c r="BG67" s="99">
        <v>2249229</v>
      </c>
      <c r="BH67" s="99">
        <v>13427740</v>
      </c>
      <c r="BI67" s="99">
        <v>5749699</v>
      </c>
      <c r="BJ67" s="99">
        <v>2832158</v>
      </c>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2"/>
      <c r="BB75" s="302"/>
      <c r="BC75" s="302"/>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2"/>
      <c r="BB76" s="302"/>
      <c r="BC76" s="302"/>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2"/>
      <c r="BB78" s="302"/>
      <c r="BC78" s="302"/>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298"/>
      <c r="C87" s="298"/>
      <c r="D87" s="299"/>
      <c r="E87" s="299"/>
      <c r="F87" s="299"/>
      <c r="G87" s="299"/>
      <c r="H87" s="299"/>
      <c r="I87" s="299"/>
      <c r="J87" s="299"/>
      <c r="K87" s="299"/>
      <c r="L87" s="299"/>
      <c r="M87" s="299"/>
      <c r="N87" s="299"/>
      <c r="O87" s="299"/>
      <c r="P87" s="299"/>
      <c r="Q87" s="299"/>
      <c r="R87" s="299"/>
      <c r="S87" s="299"/>
      <c r="T87" s="299"/>
      <c r="U87" s="299"/>
      <c r="V87" s="299"/>
      <c r="W87" s="299"/>
      <c r="X87" s="299"/>
      <c r="Y87" s="299"/>
      <c r="Z87" s="299"/>
      <c r="AA87" s="299"/>
      <c r="AB87" s="299"/>
      <c r="AC87" s="299"/>
      <c r="AD87" s="295"/>
      <c r="AE87" s="302"/>
      <c r="AF87" s="302"/>
      <c r="AG87" s="295"/>
      <c r="AH87" s="295"/>
      <c r="AI87" s="302"/>
      <c r="AJ87" s="302"/>
      <c r="AK87" s="302"/>
      <c r="AL87" s="302"/>
      <c r="AM87" s="302"/>
      <c r="AN87" s="302"/>
      <c r="AO87" s="295"/>
      <c r="AP87" s="295"/>
      <c r="AQ87" s="302"/>
      <c r="AR87" s="302"/>
      <c r="AS87" s="295"/>
      <c r="AT87" s="295"/>
      <c r="AU87" s="295"/>
      <c r="AV87" s="295"/>
      <c r="AW87" s="295"/>
      <c r="AX87" s="295"/>
      <c r="AY87" s="295"/>
      <c r="AZ87" s="295"/>
      <c r="BA87" s="302"/>
      <c r="BB87" s="302"/>
      <c r="BC87" s="302"/>
      <c r="BD87" s="295"/>
      <c r="BE87" s="295"/>
      <c r="BF87" s="299"/>
      <c r="BG87" s="299"/>
      <c r="BH87" s="299"/>
      <c r="BI87" s="299"/>
      <c r="BJ87" s="299"/>
      <c r="BK87" s="97"/>
      <c r="BL87" s="97"/>
      <c r="BM87" s="97"/>
      <c r="BN87" s="97"/>
    </row>
    <row r="88" spans="1:66" ht="12.75">
      <c r="A88" s="8"/>
      <c r="B88" s="298"/>
      <c r="C88" s="298"/>
      <c r="D88" s="299"/>
      <c r="E88" s="299"/>
      <c r="F88" s="299"/>
      <c r="G88" s="299"/>
      <c r="H88" s="299"/>
      <c r="I88" s="299"/>
      <c r="J88" s="299"/>
      <c r="K88" s="299"/>
      <c r="L88" s="299"/>
      <c r="M88" s="299"/>
      <c r="N88" s="299"/>
      <c r="O88" s="299"/>
      <c r="P88" s="299"/>
      <c r="Q88" s="299"/>
      <c r="R88" s="299"/>
      <c r="S88" s="299"/>
      <c r="T88" s="299"/>
      <c r="U88" s="299"/>
      <c r="V88" s="299"/>
      <c r="W88" s="299"/>
      <c r="X88" s="299"/>
      <c r="Y88" s="299"/>
      <c r="Z88" s="299"/>
      <c r="AA88" s="299"/>
      <c r="AB88" s="299"/>
      <c r="AC88" s="299"/>
      <c r="AD88" s="295"/>
      <c r="AE88" s="302"/>
      <c r="AF88" s="302"/>
      <c r="AG88" s="295"/>
      <c r="AH88" s="295"/>
      <c r="AI88" s="302"/>
      <c r="AJ88" s="302"/>
      <c r="AK88" s="302"/>
      <c r="AL88" s="302"/>
      <c r="AM88" s="302"/>
      <c r="AN88" s="302"/>
      <c r="AO88" s="295"/>
      <c r="AP88" s="295"/>
      <c r="AQ88" s="302"/>
      <c r="AR88" s="302"/>
      <c r="AS88" s="295"/>
      <c r="AT88" s="295"/>
      <c r="AU88" s="295"/>
      <c r="AV88" s="295"/>
      <c r="AW88" s="295"/>
      <c r="AX88" s="295"/>
      <c r="AY88" s="295"/>
      <c r="AZ88" s="295"/>
      <c r="BA88" s="302"/>
      <c r="BB88" s="302"/>
      <c r="BC88" s="302"/>
      <c r="BD88" s="295"/>
      <c r="BE88" s="295"/>
      <c r="BF88" s="299"/>
      <c r="BG88" s="299"/>
      <c r="BH88" s="299"/>
      <c r="BI88" s="299"/>
      <c r="BJ88" s="299"/>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2"/>
      <c r="BB113" s="302"/>
      <c r="BC113" s="302"/>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1"/>
      <c r="BB122" s="301"/>
      <c r="BC122" s="301"/>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8"/>
      <c r="C132" s="8"/>
      <c r="D132" s="299"/>
      <c r="E132" s="299"/>
      <c r="F132" s="299"/>
      <c r="G132" s="299"/>
      <c r="H132" s="299"/>
      <c r="I132" s="299"/>
      <c r="J132" s="299"/>
      <c r="K132" s="299"/>
      <c r="L132" s="299"/>
      <c r="M132" s="299"/>
      <c r="N132" s="299"/>
      <c r="O132" s="299"/>
      <c r="P132" s="300"/>
      <c r="Q132" s="299"/>
      <c r="R132" s="299"/>
      <c r="S132" s="299"/>
      <c r="T132" s="299"/>
      <c r="U132" s="299"/>
      <c r="V132" s="299"/>
      <c r="W132" s="299"/>
      <c r="X132" s="299"/>
      <c r="Y132" s="299"/>
      <c r="Z132" s="299"/>
      <c r="AA132" s="299"/>
      <c r="AB132" s="299"/>
      <c r="AC132" s="299"/>
      <c r="AD132" s="295"/>
      <c r="AE132" s="301"/>
      <c r="AF132" s="301"/>
      <c r="AG132" s="295"/>
      <c r="AH132" s="295"/>
      <c r="AI132" s="301"/>
      <c r="AJ132" s="301"/>
      <c r="AK132" s="301"/>
      <c r="AL132" s="301"/>
      <c r="AM132" s="301"/>
      <c r="AN132" s="301"/>
      <c r="AO132" s="295"/>
      <c r="AP132" s="296"/>
      <c r="AQ132" s="301"/>
      <c r="AR132" s="301"/>
      <c r="AS132" s="295"/>
      <c r="AT132" s="295"/>
      <c r="AU132" s="295"/>
      <c r="AV132" s="295"/>
      <c r="AW132" s="295"/>
      <c r="AX132" s="295"/>
      <c r="AY132" s="295"/>
      <c r="AZ132" s="295"/>
      <c r="BA132" s="301"/>
      <c r="BB132" s="301"/>
      <c r="BC132" s="301"/>
      <c r="BD132" s="296"/>
      <c r="BE132" s="296"/>
      <c r="BF132" s="297"/>
      <c r="BG132" s="297"/>
      <c r="BH132" s="297"/>
      <c r="BI132" s="297"/>
      <c r="BJ132" s="297"/>
      <c r="BK132" s="97"/>
      <c r="BL132" s="97"/>
      <c r="BM132" s="97"/>
      <c r="BN132" s="97"/>
    </row>
    <row r="133" spans="1:66" ht="12.75">
      <c r="A133" s="8"/>
      <c r="B133" s="8"/>
      <c r="C133" s="8"/>
      <c r="D133" s="299"/>
      <c r="E133" s="299"/>
      <c r="F133" s="299"/>
      <c r="G133" s="299"/>
      <c r="H133" s="299"/>
      <c r="I133" s="299"/>
      <c r="J133" s="299"/>
      <c r="K133" s="299"/>
      <c r="L133" s="299"/>
      <c r="M133" s="299"/>
      <c r="N133" s="299"/>
      <c r="O133" s="299"/>
      <c r="P133" s="300"/>
      <c r="Q133" s="299"/>
      <c r="R133" s="299"/>
      <c r="S133" s="299"/>
      <c r="T133" s="299"/>
      <c r="U133" s="299"/>
      <c r="V133" s="299"/>
      <c r="W133" s="299"/>
      <c r="X133" s="299"/>
      <c r="Y133" s="299"/>
      <c r="Z133" s="299"/>
      <c r="AA133" s="299"/>
      <c r="AB133" s="299"/>
      <c r="AC133" s="299"/>
      <c r="AD133" s="295"/>
      <c r="AE133" s="301"/>
      <c r="AF133" s="301"/>
      <c r="AG133" s="295"/>
      <c r="AH133" s="295"/>
      <c r="AI133" s="301"/>
      <c r="AJ133" s="301"/>
      <c r="AK133" s="301"/>
      <c r="AL133" s="301"/>
      <c r="AM133" s="301"/>
      <c r="AN133" s="301"/>
      <c r="AO133" s="295"/>
      <c r="AP133" s="296"/>
      <c r="AQ133" s="301"/>
      <c r="AR133" s="301"/>
      <c r="AS133" s="295"/>
      <c r="AT133" s="295"/>
      <c r="AU133" s="295"/>
      <c r="AV133" s="295"/>
      <c r="AW133" s="295"/>
      <c r="AX133" s="295"/>
      <c r="AY133" s="295"/>
      <c r="AZ133" s="295"/>
      <c r="BA133" s="301"/>
      <c r="BB133" s="301"/>
      <c r="BC133" s="301"/>
      <c r="BD133" s="296"/>
      <c r="BE133" s="296"/>
      <c r="BF133" s="297"/>
      <c r="BG133" s="297"/>
      <c r="BH133" s="297"/>
      <c r="BI133" s="297"/>
      <c r="BJ133" s="297"/>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393</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350</v>
      </c>
      <c r="O4" s="75" t="s">
        <v>349</v>
      </c>
      <c r="P4" s="75" t="s">
        <v>475</v>
      </c>
      <c r="Q4" s="75" t="s">
        <v>476</v>
      </c>
      <c r="R4" s="75" t="s">
        <v>477</v>
      </c>
      <c r="S4" s="75" t="s">
        <v>478</v>
      </c>
      <c r="T4" s="39" t="s">
        <v>278</v>
      </c>
      <c r="U4" s="40" t="s">
        <v>279</v>
      </c>
      <c r="V4" s="41" t="s">
        <v>7</v>
      </c>
      <c r="W4" s="24" t="s">
        <v>2</v>
      </c>
      <c r="X4" s="24" t="s">
        <v>3</v>
      </c>
      <c r="Y4" s="75" t="s">
        <v>601</v>
      </c>
      <c r="Z4" s="75" t="s">
        <v>600</v>
      </c>
      <c r="AA4" s="26" t="s">
        <v>280</v>
      </c>
      <c r="AB4" s="24" t="s">
        <v>5</v>
      </c>
      <c r="AC4" s="75" t="s">
        <v>35</v>
      </c>
      <c r="AD4" s="24" t="s">
        <v>6</v>
      </c>
      <c r="AE4" s="24" t="s">
        <v>281</v>
      </c>
      <c r="AF4" s="24" t="s">
        <v>16</v>
      </c>
      <c r="AG4" s="24" t="s">
        <v>15</v>
      </c>
      <c r="AH4" s="24" t="s">
        <v>14</v>
      </c>
      <c r="AI4" s="25" t="s">
        <v>30</v>
      </c>
      <c r="AJ4" s="47" t="s">
        <v>10</v>
      </c>
      <c r="AK4" s="26" t="s">
        <v>21</v>
      </c>
      <c r="AL4" s="25" t="s">
        <v>22</v>
      </c>
      <c r="AQ4" s="102" t="s">
        <v>390</v>
      </c>
      <c r="AR4" s="102" t="s">
        <v>392</v>
      </c>
      <c r="AS4" s="102" t="s">
        <v>391</v>
      </c>
      <c r="AY4" s="102" t="s">
        <v>472</v>
      </c>
      <c r="AZ4" s="102" t="s">
        <v>473</v>
      </c>
      <c r="BA4" s="102" t="s">
        <v>474</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413</v>
      </c>
      <c r="BA5" s="103" t="s">
        <v>345</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398</v>
      </c>
      <c r="BA6" s="103" t="s">
        <v>345</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2010</v>
      </c>
      <c r="E7" s="38">
        <f>IF(LEFT(VLOOKUP($B7,'Indicator chart'!$D$1:$J$36,5,FALSE),1)=" "," ",VLOOKUP($B7,'Indicator chart'!$D$1:$J$36,5,FALSE))</f>
        <v>0.1633747866374055</v>
      </c>
      <c r="F7" s="38">
        <f>IF(LEFT(VLOOKUP($B7,'Indicator chart'!$D$1:$J$36,6,FALSE),1)=" "," ",VLOOKUP($B7,'Indicator chart'!$D$1:$J$36,6,FALSE))</f>
        <v>0.1569471010991156</v>
      </c>
      <c r="G7" s="38">
        <f>IF(LEFT(VLOOKUP($B7,'Indicator chart'!$D$1:$J$36,7,FALSE),1)=" "," ",VLOOKUP($B7,'Indicator chart'!$D$1:$J$36,7,FALSE))</f>
        <v>0.17001262835738443</v>
      </c>
      <c r="H7" s="50">
        <f aca="true" t="shared" si="0" ref="H7:H31">IF(LEFT(F7,1)=" ",4,IF(AND(ABS(N7-E7)&gt;SQRT((E7-G7)^2+(N7-R7)^2),E7&lt;N7),1,IF(AND(ABS(N7-E7)&gt;SQRT((E7-F7)^2+(N7-S7)^2),E7&gt;N7),3,2)))</f>
        <v>1</v>
      </c>
      <c r="I7" s="38">
        <v>0.07898875325918198</v>
      </c>
      <c r="J7" s="38">
        <v>0.16746565699577332</v>
      </c>
      <c r="K7" s="38">
        <v>0.18667557835578918</v>
      </c>
      <c r="L7" s="38">
        <v>0.2204039841890335</v>
      </c>
      <c r="M7" s="38">
        <v>0.3076098561286926</v>
      </c>
      <c r="N7" s="80">
        <f>VLOOKUP('Hide - Control'!B$3,'All practice data'!A:CA,A7+29,FALSE)</f>
        <v>0.1869829907330313</v>
      </c>
      <c r="O7" s="80">
        <f>VLOOKUP('Hide - Control'!C$3,'All practice data'!A:CA,A7+29,FALSE)</f>
        <v>0.1599882305185145</v>
      </c>
      <c r="P7" s="38">
        <f>VLOOKUP('Hide - Control'!$B$4,'All practice data'!B:BC,A7+2,FALSE)</f>
        <v>86460</v>
      </c>
      <c r="Q7" s="38">
        <f>VLOOKUP('Hide - Control'!$B$4,'All practice data'!B:BC,3,FALSE)</f>
        <v>462395</v>
      </c>
      <c r="R7" s="38">
        <f>+((2*P7+1.96^2-1.96*SQRT(1.96^2+4*P7*(1-P7/Q7)))/(2*(Q7+1.96^2)))</f>
        <v>0.18586176357233977</v>
      </c>
      <c r="S7" s="38">
        <f>+((2*P7+1.96^2+1.96*SQRT(1.96^2+4*P7*(1-P7/Q7)))/(2*(Q7+1.96^2)))</f>
        <v>0.18810941897138403</v>
      </c>
      <c r="T7" s="53">
        <f>IF($C7=1,M7,I7)</f>
        <v>0.3076098561286926</v>
      </c>
      <c r="U7" s="51">
        <f aca="true" t="shared" si="1" ref="U7:U15">IF($C7=1,I7,M7)</f>
        <v>0.07898875325918198</v>
      </c>
      <c r="V7" s="7">
        <v>1</v>
      </c>
      <c r="W7" s="27">
        <f aca="true" t="shared" si="2" ref="W7:W31">IF((K7-I7)&gt;(M7-K7),I7,(K7-(M7-K7)))</f>
        <v>0.06574130058288574</v>
      </c>
      <c r="X7" s="27">
        <f aca="true" t="shared" si="3" ref="X7:X31">IF(W7=I7,K7+(K7-I7),M7)</f>
        <v>0.3076098561286926</v>
      </c>
      <c r="Y7" s="27">
        <f aca="true" t="shared" si="4" ref="Y7:Y31">IF(C7=1,W7,X7)</f>
        <v>0.06574130058288574</v>
      </c>
      <c r="Z7" s="27">
        <f aca="true" t="shared" si="5" ref="Z7:Z31">IF(C7=1,X7,W7)</f>
        <v>0.3076098561286926</v>
      </c>
      <c r="AA7" s="32">
        <f aca="true" t="shared" si="6" ref="AA7:AA31">IF(ISERROR(IF(C7=1,(I7-$Y7)/($Z7-$Y7),(U7-$Y7)/($Z7-$Y7))),"",IF(C7=1,(I7-$Y7)/($Z7-$Y7),(U7-$Y7)/($Z7-$Y7)))</f>
        <v>0.054771289498139544</v>
      </c>
      <c r="AB7" s="33">
        <f aca="true" t="shared" si="7" ref="AB7:AB31">IF(ISERROR(IF(C7=1,(J7-$Y7)/($Z7-$Y7),(L7-$Y7)/($Z7-$Y7))),"",IF(C7=1,(J7-$Y7)/($Z7-$Y7),(L7-$Y7)/($Z7-$Y7)))</f>
        <v>0.4205770203709769</v>
      </c>
      <c r="AC7" s="33">
        <v>0.5</v>
      </c>
      <c r="AD7" s="33">
        <f aca="true" t="shared" si="8" ref="AD7:AD31">IF(ISERROR(IF(C7=1,(L7-$Y7)/($Z7-$Y7),(J7-$Y7)/($Z7-$Y7))),"",IF(C7=1,(L7-$Y7)/($Z7-$Y7),(J7-$Y7)/($Z7-$Y7)))</f>
        <v>0.6394493209633304</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0.40366341062482264</v>
      </c>
      <c r="AI7" s="34">
        <f aca="true" t="shared" si="13" ref="AI7:AI31">IF(ISERROR((O7-$Y7)/($Z7-$Y7)),-999,(O7-$Y7)/($Z7-$Y7))</f>
        <v>0.3896617719610086</v>
      </c>
      <c r="AJ7" s="4">
        <v>2.7020512924389086</v>
      </c>
      <c r="AK7" s="32">
        <f aca="true" t="shared" si="14" ref="AK7:AK31">IF(H7=1,(E7-$Y7)/($Z7-$Y7),-999)</f>
        <v>0.40366341062482264</v>
      </c>
      <c r="AL7" s="34">
        <f aca="true" t="shared" si="15" ref="AL7:AL31">IF(H7=3,(E7-$Y7)/($Z7-$Y7),-999)</f>
        <v>-999</v>
      </c>
      <c r="AQ7" s="103">
        <v>2</v>
      </c>
      <c r="AR7" s="103">
        <v>0.2422</v>
      </c>
      <c r="AS7" s="103">
        <v>7.2247</v>
      </c>
      <c r="AY7" s="103" t="s">
        <v>68</v>
      </c>
      <c r="AZ7" s="103" t="s">
        <v>397</v>
      </c>
      <c r="BA7" s="103" t="s">
        <v>345</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0.12</v>
      </c>
      <c r="F8" s="38">
        <f>IF(LEFT(VLOOKUP($B8,'Indicator chart'!$D$1:$J$36,6,FALSE),1)=" "," ",VLOOKUP($B8,'Indicator chart'!$D$1:$J$36,6,FALSE))</f>
        <v>0.11437603311522226</v>
      </c>
      <c r="G8" s="38">
        <f>IF(LEFT(VLOOKUP($B8,'Indicator chart'!$D$1:$J$36,7,FALSE),1)=" "," ",VLOOKUP($B8,'Indicator chart'!$D$1:$J$36,7,FALSE))</f>
        <v>0.12586120208247462</v>
      </c>
      <c r="H8" s="50">
        <f t="shared" si="0"/>
        <v>3</v>
      </c>
      <c r="I8" s="38">
        <v>0.05000000074505806</v>
      </c>
      <c r="J8" s="38">
        <v>0.07000000029802322</v>
      </c>
      <c r="K8" s="38">
        <v>0.07999999821186066</v>
      </c>
      <c r="L8" s="38">
        <v>0.10000000149011612</v>
      </c>
      <c r="M8" s="38">
        <v>0.18000000715255737</v>
      </c>
      <c r="N8" s="80">
        <f>VLOOKUP('Hide - Control'!B$3,'All practice data'!A:CA,A8+29,FALSE)</f>
        <v>0.08893493658019656</v>
      </c>
      <c r="O8" s="80">
        <f>VLOOKUP('Hide - Control'!C$3,'All practice data'!A:CA,A8+29,FALSE)</f>
        <v>0.15010930292554353</v>
      </c>
      <c r="P8" s="38">
        <f>VLOOKUP('Hide - Control'!$B$4,'All practice data'!B:BC,A8+2,FALSE)</f>
        <v>41123.06999999999</v>
      </c>
      <c r="Q8" s="38">
        <f>VLOOKUP('Hide - Control'!$B$4,'All practice data'!B:BC,3,FALSE)</f>
        <v>462395</v>
      </c>
      <c r="R8" s="38">
        <f>+((2*P8+1.96^2-1.96*SQRT(1.96^2+4*P8*(1-P8/Q8)))/(2*(Q8+1.96^2)))</f>
        <v>0.08811788235141949</v>
      </c>
      <c r="S8" s="38">
        <f>+((2*P8+1.96^2+1.96*SQRT(1.96^2+4*P8*(1-P8/Q8)))/(2*(Q8+1.96^2)))</f>
        <v>0.0897588210490416</v>
      </c>
      <c r="T8" s="53">
        <f aca="true" t="shared" si="16" ref="T8:T15">IF($C8=1,M8,I8)</f>
        <v>0.18000000715255737</v>
      </c>
      <c r="U8" s="51">
        <f t="shared" si="1"/>
        <v>0.05000000074505806</v>
      </c>
      <c r="V8" s="7"/>
      <c r="W8" s="27">
        <f t="shared" si="2"/>
        <v>-0.02000001072883606</v>
      </c>
      <c r="X8" s="27">
        <f t="shared" si="3"/>
        <v>0.18000000715255737</v>
      </c>
      <c r="Y8" s="27">
        <f t="shared" si="4"/>
        <v>-0.02000001072883606</v>
      </c>
      <c r="Z8" s="27">
        <f t="shared" si="5"/>
        <v>0.18000000715255737</v>
      </c>
      <c r="AA8" s="32">
        <f t="shared" si="6"/>
        <v>0.35000002607702974</v>
      </c>
      <c r="AB8" s="33">
        <f t="shared" si="7"/>
        <v>0.4500000149011599</v>
      </c>
      <c r="AC8" s="33">
        <v>0.5</v>
      </c>
      <c r="AD8" s="33">
        <f t="shared" si="8"/>
        <v>0.6000000074505799</v>
      </c>
      <c r="AE8" s="33">
        <f t="shared" si="9"/>
        <v>1</v>
      </c>
      <c r="AF8" s="33">
        <f t="shared" si="10"/>
        <v>-999</v>
      </c>
      <c r="AG8" s="33">
        <f t="shared" si="11"/>
        <v>-999</v>
      </c>
      <c r="AH8" s="33">
        <f t="shared" si="12"/>
        <v>0.6999999910593041</v>
      </c>
      <c r="AI8" s="34">
        <f t="shared" si="13"/>
        <v>0.8505464922271156</v>
      </c>
      <c r="AJ8" s="4">
        <v>3.778046717820832</v>
      </c>
      <c r="AK8" s="32">
        <f t="shared" si="14"/>
        <v>-999</v>
      </c>
      <c r="AL8" s="34">
        <f t="shared" si="15"/>
        <v>0.6999999910593041</v>
      </c>
      <c r="AQ8" s="103">
        <v>3</v>
      </c>
      <c r="AR8" s="103">
        <v>0.6187</v>
      </c>
      <c r="AS8" s="103">
        <v>8.7673</v>
      </c>
      <c r="AY8" s="103" t="s">
        <v>118</v>
      </c>
      <c r="AZ8" s="103" t="s">
        <v>119</v>
      </c>
      <c r="BA8" s="103" t="s">
        <v>345</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61</v>
      </c>
      <c r="E9" s="38">
        <f>IF(LEFT(VLOOKUP($B9,'Indicator chart'!$D$1:$J$36,5,FALSE),1)=" "," ",VLOOKUP($B9,'Indicator chart'!$D$1:$J$36,5,FALSE))</f>
        <v>495.81402909859383</v>
      </c>
      <c r="F9" s="38">
        <f>IF(LEFT(VLOOKUP($B9,'Indicator chart'!$D$1:$J$36,6,FALSE),1)=" "," ",VLOOKUP($B9,'Indicator chart'!$D$1:$J$36,6,FALSE))</f>
        <v>379.235921885422</v>
      </c>
      <c r="G9" s="38">
        <f>IF(LEFT(VLOOKUP($B9,'Indicator chart'!$D$1:$J$36,7,FALSE),1)=" "," ",VLOOKUP($B9,'Indicator chart'!$D$1:$J$36,7,FALSE))</f>
        <v>636.9073257095541</v>
      </c>
      <c r="H9" s="50">
        <f t="shared" si="0"/>
        <v>2</v>
      </c>
      <c r="I9" s="38">
        <v>92.60600280761719</v>
      </c>
      <c r="J9" s="38">
        <v>336.763916015625</v>
      </c>
      <c r="K9" s="38">
        <v>470.7159423828125</v>
      </c>
      <c r="L9" s="38">
        <v>599.1627807617188</v>
      </c>
      <c r="M9" s="38">
        <v>1197.9822998046875</v>
      </c>
      <c r="N9" s="80">
        <f>VLOOKUP('Hide - Control'!B$3,'All practice data'!A:CA,A9+29,FALSE)</f>
        <v>469.07946668973494</v>
      </c>
      <c r="O9" s="80">
        <f>VLOOKUP('Hide - Control'!C$3,'All practice data'!A:CA,A9+29,FALSE)</f>
        <v>445.6198871279627</v>
      </c>
      <c r="P9" s="38">
        <f>VLOOKUP('Hide - Control'!$B$4,'All practice data'!B:BC,A9+2,FALSE)</f>
        <v>2169</v>
      </c>
      <c r="Q9" s="38">
        <f>VLOOKUP('Hide - Control'!$B$4,'All practice data'!B:BC,3,FALSE)</f>
        <v>462395</v>
      </c>
      <c r="R9" s="38">
        <f>100000*(P9*(1-1/(9*P9)-1.96/(3*SQRT(P9)))^3)/Q9</f>
        <v>449.54386797480515</v>
      </c>
      <c r="S9" s="38">
        <f>100000*((P9+1)*(1-1/(9*(P9+1))+1.96/(3*SQRT(P9+1)))^3)/Q9</f>
        <v>489.2455531429986</v>
      </c>
      <c r="T9" s="53">
        <f t="shared" si="16"/>
        <v>1197.9822998046875</v>
      </c>
      <c r="U9" s="51">
        <f t="shared" si="1"/>
        <v>92.60600280761719</v>
      </c>
      <c r="V9" s="7"/>
      <c r="W9" s="27">
        <f t="shared" si="2"/>
        <v>-256.5504150390625</v>
      </c>
      <c r="X9" s="27">
        <f t="shared" si="3"/>
        <v>1197.9822998046875</v>
      </c>
      <c r="Y9" s="27">
        <f t="shared" si="4"/>
        <v>-256.5504150390625</v>
      </c>
      <c r="Z9" s="27">
        <f t="shared" si="5"/>
        <v>1197.9822998046875</v>
      </c>
      <c r="AA9" s="32">
        <f t="shared" si="6"/>
        <v>0.240047139733249</v>
      </c>
      <c r="AB9" s="33">
        <f t="shared" si="7"/>
        <v>0.40790717527341624</v>
      </c>
      <c r="AC9" s="33">
        <v>0.5</v>
      </c>
      <c r="AD9" s="33">
        <f t="shared" si="8"/>
        <v>0.5883079748348626</v>
      </c>
      <c r="AE9" s="33">
        <f t="shared" si="9"/>
        <v>1</v>
      </c>
      <c r="AF9" s="33">
        <f t="shared" si="10"/>
        <v>-999</v>
      </c>
      <c r="AG9" s="33">
        <f t="shared" si="11"/>
        <v>0.5172550857465433</v>
      </c>
      <c r="AH9" s="33">
        <f t="shared" si="12"/>
        <v>-999</v>
      </c>
      <c r="AI9" s="34">
        <f t="shared" si="13"/>
        <v>0.48274631089507974</v>
      </c>
      <c r="AJ9" s="4">
        <v>4.854042143202755</v>
      </c>
      <c r="AK9" s="32">
        <f t="shared" si="14"/>
        <v>-999</v>
      </c>
      <c r="AL9" s="34">
        <f t="shared" si="15"/>
        <v>-999</v>
      </c>
      <c r="AQ9" s="103">
        <v>4</v>
      </c>
      <c r="AR9" s="103">
        <v>1.0899</v>
      </c>
      <c r="AS9" s="103">
        <v>10.2416</v>
      </c>
      <c r="AY9" s="103" t="s">
        <v>90</v>
      </c>
      <c r="AZ9" s="103" t="s">
        <v>407</v>
      </c>
      <c r="BA9" s="103" t="s">
        <v>345</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30</v>
      </c>
      <c r="E10" s="38">
        <f>IF(LEFT(VLOOKUP($B10,'Indicator chart'!$D$1:$J$36,5,FALSE),1)=" "," ",VLOOKUP($B10,'Indicator chart'!$D$1:$J$36,5,FALSE))</f>
        <v>243.84296513045598</v>
      </c>
      <c r="F10" s="38">
        <f>IF(LEFT(VLOOKUP($B10,'Indicator chart'!$D$1:$J$36,6,FALSE),1)=" "," ",VLOOKUP($B10,'Indicator chart'!$D$1:$J$36,6,FALSE))</f>
        <v>164.48660786633198</v>
      </c>
      <c r="G10" s="38">
        <f>IF(LEFT(VLOOKUP($B10,'Indicator chart'!$D$1:$J$36,7,FALSE),1)=" "," ",VLOOKUP($B10,'Indicator chart'!$D$1:$J$36,7,FALSE))</f>
        <v>348.1152620078579</v>
      </c>
      <c r="H10" s="50">
        <f t="shared" si="0"/>
        <v>2</v>
      </c>
      <c r="I10" s="38">
        <v>44.173431396484375</v>
      </c>
      <c r="J10" s="38">
        <v>186.27584838867188</v>
      </c>
      <c r="K10" s="38">
        <v>239.47848510742188</v>
      </c>
      <c r="L10" s="38">
        <v>292.22845458984375</v>
      </c>
      <c r="M10" s="38">
        <v>542.4254150390625</v>
      </c>
      <c r="N10" s="80">
        <f>VLOOKUP('Hide - Control'!B$3,'All practice data'!A:CA,A10+29,FALSE)</f>
        <v>248.27258080212806</v>
      </c>
      <c r="O10" s="80">
        <f>VLOOKUP('Hide - Control'!C$3,'All practice data'!A:CA,A10+29,FALSE)</f>
        <v>234.12259778895606</v>
      </c>
      <c r="P10" s="38">
        <f>VLOOKUP('Hide - Control'!$B$4,'All practice data'!B:BC,A10+2,FALSE)</f>
        <v>1148</v>
      </c>
      <c r="Q10" s="38">
        <f>VLOOKUP('Hide - Control'!$B$4,'All practice data'!B:BC,3,FALSE)</f>
        <v>462395</v>
      </c>
      <c r="R10" s="38">
        <f>100000*(P10*(1-1/(9*P10)-1.96/(3*SQRT(P10)))^3)/Q10</f>
        <v>234.11644170924987</v>
      </c>
      <c r="S10" s="38">
        <f>100000*((P10+1)*(1-1/(9*(P10+1))+1.96/(3*SQRT(P10+1)))^3)/Q10</f>
        <v>263.06089286972906</v>
      </c>
      <c r="T10" s="53">
        <f t="shared" si="16"/>
        <v>542.4254150390625</v>
      </c>
      <c r="U10" s="51">
        <f t="shared" si="1"/>
        <v>44.173431396484375</v>
      </c>
      <c r="V10" s="7"/>
      <c r="W10" s="27">
        <f t="shared" si="2"/>
        <v>-63.46844482421875</v>
      </c>
      <c r="X10" s="27">
        <f t="shared" si="3"/>
        <v>542.4254150390625</v>
      </c>
      <c r="Y10" s="27">
        <f t="shared" si="4"/>
        <v>-63.46844482421875</v>
      </c>
      <c r="Z10" s="27">
        <f t="shared" si="5"/>
        <v>542.4254150390625</v>
      </c>
      <c r="AA10" s="32">
        <f t="shared" si="6"/>
        <v>0.1776579750205627</v>
      </c>
      <c r="AB10" s="33">
        <f t="shared" si="7"/>
        <v>0.412191490551241</v>
      </c>
      <c r="AC10" s="33">
        <v>0.5</v>
      </c>
      <c r="AD10" s="33">
        <f t="shared" si="8"/>
        <v>0.5870614029564928</v>
      </c>
      <c r="AE10" s="33">
        <f t="shared" si="9"/>
        <v>1</v>
      </c>
      <c r="AF10" s="33">
        <f t="shared" si="10"/>
        <v>-999</v>
      </c>
      <c r="AG10" s="33">
        <f t="shared" si="11"/>
        <v>0.5072033739110988</v>
      </c>
      <c r="AH10" s="33">
        <f t="shared" si="12"/>
        <v>-999</v>
      </c>
      <c r="AI10" s="34">
        <f t="shared" si="13"/>
        <v>0.4911603538618557</v>
      </c>
      <c r="AJ10" s="4">
        <v>5.930037568584676</v>
      </c>
      <c r="AK10" s="32">
        <f t="shared" si="14"/>
        <v>-999</v>
      </c>
      <c r="AL10" s="34">
        <f t="shared" si="15"/>
        <v>-999</v>
      </c>
      <c r="AY10" s="103" t="s">
        <v>96</v>
      </c>
      <c r="AZ10" s="103" t="s">
        <v>97</v>
      </c>
      <c r="BA10" s="103" t="s">
        <v>524</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235</v>
      </c>
      <c r="E11" s="38">
        <f>IF(LEFT(VLOOKUP($B11,'Indicator chart'!$D$1:$J$36,5,FALSE),1)=" "," ",VLOOKUP($B11,'Indicator chart'!$D$1:$J$36,5,FALSE))</f>
        <v>0.019</v>
      </c>
      <c r="F11" s="38">
        <f>IF(LEFT(VLOOKUP($B11,'Indicator chart'!$D$1:$J$36,6,FALSE),1)=" "," ",VLOOKUP($B11,'Indicator chart'!$D$1:$J$36,6,FALSE))</f>
        <v>0.01682811798300879</v>
      </c>
      <c r="G11" s="38">
        <f>IF(LEFT(VLOOKUP($B11,'Indicator chart'!$D$1:$J$36,7,FALSE),1)=" "," ",VLOOKUP($B11,'Indicator chart'!$D$1:$J$36,7,FALSE))</f>
        <v>0.02167417329536437</v>
      </c>
      <c r="H11" s="50">
        <f t="shared" si="0"/>
        <v>2</v>
      </c>
      <c r="I11" s="38">
        <v>0.008999999612569809</v>
      </c>
      <c r="J11" s="38">
        <v>0.015250000171363354</v>
      </c>
      <c r="K11" s="38">
        <v>0.01899999938905239</v>
      </c>
      <c r="L11" s="38">
        <v>0.022749999538064003</v>
      </c>
      <c r="M11" s="38">
        <v>0.039000000804662704</v>
      </c>
      <c r="N11" s="80">
        <f>VLOOKUP('Hide - Control'!B$3,'All practice data'!A:CA,A11+29,FALSE)</f>
        <v>0.01925410093102218</v>
      </c>
      <c r="O11" s="80">
        <f>VLOOKUP('Hide - Control'!C$3,'All practice data'!A:CA,A11+29,FALSE)</f>
        <v>0.015940726342527432</v>
      </c>
      <c r="P11" s="38">
        <f>VLOOKUP('Hide - Control'!$B$4,'All practice data'!B:BC,A11+2,FALSE)</f>
        <v>8903</v>
      </c>
      <c r="Q11" s="38">
        <f>VLOOKUP('Hide - Control'!$B$4,'All practice data'!B:BC,3,FALSE)</f>
        <v>462395</v>
      </c>
      <c r="R11" s="80">
        <f aca="true" t="shared" si="17" ref="R11:R16">+((2*P11+1.96^2-1.96*SQRT(1.96^2+4*P11*(1-P11/Q11)))/(2*(Q11+1.96^2)))</f>
        <v>0.018861990569460047</v>
      </c>
      <c r="S11" s="80">
        <f aca="true" t="shared" si="18" ref="S11:S16">+((2*P11+1.96^2+1.96*SQRT(1.96^2+4*P11*(1-P11/Q11)))/(2*(Q11+1.96^2)))</f>
        <v>0.0196541993465313</v>
      </c>
      <c r="T11" s="53">
        <f t="shared" si="16"/>
        <v>0.039000000804662704</v>
      </c>
      <c r="U11" s="51">
        <f t="shared" si="1"/>
        <v>0.008999999612569809</v>
      </c>
      <c r="V11" s="7"/>
      <c r="W11" s="27">
        <f t="shared" si="2"/>
        <v>-0.0010000020265579224</v>
      </c>
      <c r="X11" s="27">
        <f t="shared" si="3"/>
        <v>0.039000000804662704</v>
      </c>
      <c r="Y11" s="27">
        <f t="shared" si="4"/>
        <v>-0.0010000020265579224</v>
      </c>
      <c r="Z11" s="27">
        <f t="shared" si="5"/>
        <v>0.039000000804662704</v>
      </c>
      <c r="AA11" s="32">
        <f t="shared" si="6"/>
        <v>0.2500000232830627</v>
      </c>
      <c r="AB11" s="33">
        <f t="shared" si="7"/>
        <v>0.4062500261934456</v>
      </c>
      <c r="AC11" s="33">
        <v>0.5</v>
      </c>
      <c r="AD11" s="33">
        <f t="shared" si="8"/>
        <v>0.5937499970896172</v>
      </c>
      <c r="AE11" s="33">
        <f t="shared" si="9"/>
        <v>1</v>
      </c>
      <c r="AF11" s="33">
        <f t="shared" si="10"/>
        <v>-999</v>
      </c>
      <c r="AG11" s="33">
        <f t="shared" si="11"/>
        <v>0.5000000152736891</v>
      </c>
      <c r="AH11" s="33">
        <f t="shared" si="12"/>
        <v>-999</v>
      </c>
      <c r="AI11" s="34">
        <f t="shared" si="13"/>
        <v>0.4235181792502987</v>
      </c>
      <c r="AJ11" s="4">
        <v>7.0060329939666</v>
      </c>
      <c r="AK11" s="32">
        <f t="shared" si="14"/>
        <v>-999</v>
      </c>
      <c r="AL11" s="34">
        <f t="shared" si="15"/>
        <v>-999</v>
      </c>
      <c r="AY11" s="103" t="s">
        <v>214</v>
      </c>
      <c r="AZ11" s="103" t="s">
        <v>215</v>
      </c>
      <c r="BA11" s="103" t="s">
        <v>524</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995</v>
      </c>
      <c r="E12" s="38">
        <f>IF(LEFT(VLOOKUP($B12,'Indicator chart'!$D$1:$J$36,5,FALSE),1)=" "," ",VLOOKUP($B12,'Indicator chart'!$D$1:$J$36,5,FALSE))</f>
        <v>0.701693</v>
      </c>
      <c r="F12" s="38">
        <f>IF(LEFT(VLOOKUP($B12,'Indicator chart'!$D$1:$J$36,6,FALSE),1)=" "," ",VLOOKUP($B12,'Indicator chart'!$D$1:$J$36,6,FALSE))</f>
        <v>0.6773600193632476</v>
      </c>
      <c r="G12" s="38">
        <f>IF(LEFT(VLOOKUP($B12,'Indicator chart'!$D$1:$J$36,7,FALSE),1)=" "," ",VLOOKUP($B12,'Indicator chart'!$D$1:$J$36,7,FALSE))</f>
        <v>0.724935144880083</v>
      </c>
      <c r="H12" s="50">
        <f t="shared" si="0"/>
        <v>1</v>
      </c>
      <c r="I12" s="38">
        <v>0.578590989112854</v>
      </c>
      <c r="J12" s="38">
        <v>0.7108370065689087</v>
      </c>
      <c r="K12" s="38">
        <v>0.7445690035820007</v>
      </c>
      <c r="L12" s="38">
        <v>0.7739329934120178</v>
      </c>
      <c r="M12" s="38">
        <v>0.8076080083847046</v>
      </c>
      <c r="N12" s="80">
        <f>VLOOKUP('Hide - Control'!B$3,'All practice data'!A:CA,A12+29,FALSE)</f>
        <v>0.7454207762264634</v>
      </c>
      <c r="O12" s="80">
        <f>VLOOKUP('Hide - Control'!C$3,'All practice data'!A:CA,A12+29,FALSE)</f>
        <v>0.7248631360507991</v>
      </c>
      <c r="P12" s="38">
        <f>VLOOKUP('Hide - Control'!$B$4,'All practice data'!B:BC,A12+2,FALSE)</f>
        <v>46556</v>
      </c>
      <c r="Q12" s="38">
        <f>VLOOKUP('Hide - Control'!$B$4,'All practice data'!B:BJ,57,FALSE)</f>
        <v>62456</v>
      </c>
      <c r="R12" s="38">
        <f t="shared" si="17"/>
        <v>0.7419892549763483</v>
      </c>
      <c r="S12" s="38">
        <f t="shared" si="18"/>
        <v>0.7488221082084089</v>
      </c>
      <c r="T12" s="53">
        <f t="shared" si="16"/>
        <v>0.8076080083847046</v>
      </c>
      <c r="U12" s="51">
        <f t="shared" si="1"/>
        <v>0.578590989112854</v>
      </c>
      <c r="V12" s="7"/>
      <c r="W12" s="27">
        <f t="shared" si="2"/>
        <v>0.578590989112854</v>
      </c>
      <c r="X12" s="27">
        <f t="shared" si="3"/>
        <v>0.9105470180511475</v>
      </c>
      <c r="Y12" s="27">
        <f t="shared" si="4"/>
        <v>0.578590989112854</v>
      </c>
      <c r="Z12" s="27">
        <f t="shared" si="5"/>
        <v>0.9105470180511475</v>
      </c>
      <c r="AA12" s="32">
        <f t="shared" si="6"/>
        <v>0</v>
      </c>
      <c r="AB12" s="33">
        <f t="shared" si="7"/>
        <v>0.39838414105332487</v>
      </c>
      <c r="AC12" s="33">
        <v>0.5</v>
      </c>
      <c r="AD12" s="33">
        <f t="shared" si="8"/>
        <v>0.5884574680686866</v>
      </c>
      <c r="AE12" s="33">
        <f t="shared" si="9"/>
        <v>0.6899016716289916</v>
      </c>
      <c r="AF12" s="33">
        <f t="shared" si="10"/>
        <v>-999</v>
      </c>
      <c r="AG12" s="33">
        <f t="shared" si="11"/>
        <v>-999</v>
      </c>
      <c r="AH12" s="33">
        <f t="shared" si="12"/>
        <v>0.3708383043406907</v>
      </c>
      <c r="AI12" s="34">
        <f t="shared" si="13"/>
        <v>0.44063711511965126</v>
      </c>
      <c r="AJ12" s="4">
        <v>8.082028419348523</v>
      </c>
      <c r="AK12" s="32">
        <f t="shared" si="14"/>
        <v>0.3708383043406907</v>
      </c>
      <c r="AL12" s="34">
        <f t="shared" si="15"/>
        <v>-999</v>
      </c>
      <c r="AY12" s="103" t="s">
        <v>261</v>
      </c>
      <c r="AZ12" s="103" t="s">
        <v>460</v>
      </c>
      <c r="BA12" s="103" t="s">
        <v>345</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25</v>
      </c>
      <c r="E13" s="38">
        <f>IF(LEFT(VLOOKUP($B13,'Indicator chart'!$D$1:$J$36,5,FALSE),1)=" "," ",VLOOKUP($B13,'Indicator chart'!$D$1:$J$36,5,FALSE))</f>
        <v>0.581395</v>
      </c>
      <c r="F13" s="38">
        <f>IF(LEFT(VLOOKUP($B13,'Indicator chart'!$D$1:$J$36,6,FALSE),1)=" "," ",VLOOKUP($B13,'Indicator chart'!$D$1:$J$36,6,FALSE))</f>
        <v>0.43328315755711766</v>
      </c>
      <c r="G13" s="38">
        <f>IF(LEFT(VLOOKUP($B13,'Indicator chart'!$D$1:$J$36,7,FALSE),1)=" "," ",VLOOKUP($B13,'Indicator chart'!$D$1:$J$36,7,FALSE))</f>
        <v>0.7161566566251477</v>
      </c>
      <c r="H13" s="50">
        <f t="shared" si="0"/>
        <v>1</v>
      </c>
      <c r="I13" s="38">
        <v>0.33333298563957214</v>
      </c>
      <c r="J13" s="38">
        <v>0.5</v>
      </c>
      <c r="K13" s="38">
        <v>0.6271064877510071</v>
      </c>
      <c r="L13" s="38">
        <v>0.7749149799346924</v>
      </c>
      <c r="M13" s="38">
        <v>0.8649680018424988</v>
      </c>
      <c r="N13" s="80">
        <f>VLOOKUP('Hide - Control'!B$3,'All practice data'!A:CA,A13+29,FALSE)</f>
        <v>0.7681319615678939</v>
      </c>
      <c r="O13" s="80">
        <f>VLOOKUP('Hide - Control'!C$3,'All practice data'!A:CA,A13+29,FALSE)</f>
        <v>0.7467412166569077</v>
      </c>
      <c r="P13" s="38">
        <f>VLOOKUP('Hide - Control'!$B$4,'All practice data'!B:BC,A13+2,FALSE)</f>
        <v>18068</v>
      </c>
      <c r="Q13" s="38">
        <f>VLOOKUP('Hide - Control'!$B$4,'All practice data'!B:BJ,58,FALSE)</f>
        <v>23522</v>
      </c>
      <c r="R13" s="38">
        <f t="shared" si="17"/>
        <v>0.7626951062543467</v>
      </c>
      <c r="S13" s="38">
        <f t="shared" si="18"/>
        <v>0.773481248856367</v>
      </c>
      <c r="T13" s="53">
        <f t="shared" si="16"/>
        <v>0.8649680018424988</v>
      </c>
      <c r="U13" s="51">
        <f t="shared" si="1"/>
        <v>0.33333298563957214</v>
      </c>
      <c r="V13" s="7"/>
      <c r="W13" s="27">
        <f t="shared" si="2"/>
        <v>0.33333298563957214</v>
      </c>
      <c r="X13" s="27">
        <f t="shared" si="3"/>
        <v>0.920879989862442</v>
      </c>
      <c r="Y13" s="27">
        <f t="shared" si="4"/>
        <v>0.33333298563957214</v>
      </c>
      <c r="Z13" s="27">
        <f t="shared" si="5"/>
        <v>0.920879989862442</v>
      </c>
      <c r="AA13" s="32">
        <f t="shared" si="6"/>
        <v>0</v>
      </c>
      <c r="AB13" s="33">
        <f t="shared" si="7"/>
        <v>0.2836658397754459</v>
      </c>
      <c r="AC13" s="33">
        <v>0.5</v>
      </c>
      <c r="AD13" s="33">
        <f t="shared" si="8"/>
        <v>0.7515687955539608</v>
      </c>
      <c r="AE13" s="33">
        <f t="shared" si="9"/>
        <v>0.9048382723116829</v>
      </c>
      <c r="AF13" s="33">
        <f t="shared" si="10"/>
        <v>-999</v>
      </c>
      <c r="AG13" s="33">
        <f t="shared" si="11"/>
        <v>-999</v>
      </c>
      <c r="AH13" s="33">
        <f t="shared" si="12"/>
        <v>0.42219943694297574</v>
      </c>
      <c r="AI13" s="34">
        <f t="shared" si="13"/>
        <v>0.7036172902696317</v>
      </c>
      <c r="AJ13" s="4">
        <v>9.158023844730446</v>
      </c>
      <c r="AK13" s="32">
        <f t="shared" si="14"/>
        <v>0.42219943694297574</v>
      </c>
      <c r="AL13" s="34">
        <f t="shared" si="15"/>
        <v>-999</v>
      </c>
      <c r="AY13" s="103" t="s">
        <v>260</v>
      </c>
      <c r="AZ13" s="103" t="s">
        <v>459</v>
      </c>
      <c r="BA13" s="103" t="s">
        <v>345</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2124</v>
      </c>
      <c r="E14" s="38">
        <f>IF(LEFT(VLOOKUP($B14,'Indicator chart'!$D$1:$J$36,5,FALSE),1)=" "," ",VLOOKUP($B14,'Indicator chart'!$D$1:$J$36,5,FALSE))</f>
        <v>0.704711</v>
      </c>
      <c r="F14" s="38">
        <f>IF(LEFT(VLOOKUP($B14,'Indicator chart'!$D$1:$J$36,6,FALSE),1)=" "," ",VLOOKUP($B14,'Indicator chart'!$D$1:$J$36,6,FALSE))</f>
        <v>0.6881730765401004</v>
      </c>
      <c r="G14" s="38">
        <f>IF(LEFT(VLOOKUP($B14,'Indicator chart'!$D$1:$J$36,7,FALSE),1)=" "," ",VLOOKUP($B14,'Indicator chart'!$D$1:$J$36,7,FALSE))</f>
        <v>0.7207284377076982</v>
      </c>
      <c r="H14" s="50">
        <f t="shared" si="0"/>
        <v>1</v>
      </c>
      <c r="I14" s="38">
        <v>0.7047110199928284</v>
      </c>
      <c r="J14" s="38">
        <v>0.7634069919586182</v>
      </c>
      <c r="K14" s="38">
        <v>0.7846055030822754</v>
      </c>
      <c r="L14" s="38">
        <v>0.813216507434845</v>
      </c>
      <c r="M14" s="38">
        <v>0.855783998966217</v>
      </c>
      <c r="N14" s="80">
        <f>VLOOKUP('Hide - Control'!B$3,'All practice data'!A:CA,A14+29,FALSE)</f>
        <v>0.7783610688225103</v>
      </c>
      <c r="O14" s="80">
        <f>VLOOKUP('Hide - Control'!C$3,'All practice data'!A:CA,A14+29,FALSE)</f>
        <v>0.7559681673907895</v>
      </c>
      <c r="P14" s="38">
        <f>VLOOKUP('Hide - Control'!$B$4,'All practice data'!B:BC,A14+2,FALSE)</f>
        <v>88962</v>
      </c>
      <c r="Q14" s="38">
        <f>VLOOKUP('Hide - Control'!$B$4,'All practice data'!B:BJ,59,FALSE)</f>
        <v>114294</v>
      </c>
      <c r="R14" s="38">
        <f t="shared" si="17"/>
        <v>0.7759437272434548</v>
      </c>
      <c r="S14" s="38">
        <f t="shared" si="18"/>
        <v>0.7807596987292016</v>
      </c>
      <c r="T14" s="53">
        <f t="shared" si="16"/>
        <v>0.855783998966217</v>
      </c>
      <c r="U14" s="51">
        <f t="shared" si="1"/>
        <v>0.7047110199928284</v>
      </c>
      <c r="V14" s="7"/>
      <c r="W14" s="27">
        <f t="shared" si="2"/>
        <v>0.7047110199928284</v>
      </c>
      <c r="X14" s="27">
        <f t="shared" si="3"/>
        <v>0.8644999861717224</v>
      </c>
      <c r="Y14" s="27">
        <f t="shared" si="4"/>
        <v>0.7047110199928284</v>
      </c>
      <c r="Z14" s="27">
        <f t="shared" si="5"/>
        <v>0.8644999861717224</v>
      </c>
      <c r="AA14" s="32">
        <f t="shared" si="6"/>
        <v>0</v>
      </c>
      <c r="AB14" s="33">
        <f t="shared" si="7"/>
        <v>0.36733432457455084</v>
      </c>
      <c r="AC14" s="33">
        <v>0.5</v>
      </c>
      <c r="AD14" s="33">
        <f t="shared" si="8"/>
        <v>0.6790549437596193</v>
      </c>
      <c r="AE14" s="33">
        <f t="shared" si="9"/>
        <v>0.9454531347568313</v>
      </c>
      <c r="AF14" s="33">
        <f t="shared" si="10"/>
        <v>-999</v>
      </c>
      <c r="AG14" s="33">
        <f t="shared" si="11"/>
        <v>-999</v>
      </c>
      <c r="AH14" s="33">
        <f t="shared" si="12"/>
        <v>-1.251202061751858E-07</v>
      </c>
      <c r="AI14" s="34">
        <f t="shared" si="13"/>
        <v>0.3207802680228589</v>
      </c>
      <c r="AJ14" s="4">
        <v>10.234019270112368</v>
      </c>
      <c r="AK14" s="32">
        <f t="shared" si="14"/>
        <v>-1.251202061751858E-07</v>
      </c>
      <c r="AL14" s="34">
        <f t="shared" si="15"/>
        <v>-999</v>
      </c>
      <c r="AY14" s="103" t="s">
        <v>53</v>
      </c>
      <c r="AZ14" s="103" t="s">
        <v>467</v>
      </c>
      <c r="BA14" s="103" t="s">
        <v>524</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752</v>
      </c>
      <c r="E15" s="38">
        <f>IF(LEFT(VLOOKUP($B15,'Indicator chart'!$D$1:$J$36,5,FALSE),1)=" "," ",VLOOKUP($B15,'Indicator chart'!$D$1:$J$36,5,FALSE))</f>
        <v>0.602082</v>
      </c>
      <c r="F15" s="38">
        <f>IF(LEFT(VLOOKUP($B15,'Indicator chart'!$D$1:$J$36,6,FALSE),1)=" "," ",VLOOKUP($B15,'Indicator chart'!$D$1:$J$36,6,FALSE))</f>
        <v>0.5746628891455341</v>
      </c>
      <c r="G15" s="38">
        <f>IF(LEFT(VLOOKUP($B15,'Indicator chart'!$D$1:$J$36,7,FALSE),1)=" "," ",VLOOKUP($B15,'Indicator chart'!$D$1:$J$36,7,FALSE))</f>
        <v>0.6288744135749376</v>
      </c>
      <c r="H15" s="50">
        <f t="shared" si="0"/>
        <v>2</v>
      </c>
      <c r="I15" s="38">
        <v>0.47950801253318787</v>
      </c>
      <c r="J15" s="38">
        <v>0.5724842548370361</v>
      </c>
      <c r="K15" s="38">
        <v>0.5955294966697693</v>
      </c>
      <c r="L15" s="38">
        <v>0.6107364892959595</v>
      </c>
      <c r="M15" s="38">
        <v>0.6521739959716797</v>
      </c>
      <c r="N15" s="80">
        <f>VLOOKUP('Hide - Control'!B$3,'All practice data'!A:CA,A15+29,FALSE)</f>
        <v>0.5920962860591641</v>
      </c>
      <c r="O15" s="80">
        <f>VLOOKUP('Hide - Control'!C$3,'All practice data'!A:CA,A15+29,FALSE)</f>
        <v>0.5147293797466616</v>
      </c>
      <c r="P15" s="38">
        <f>VLOOKUP('Hide - Control'!$B$4,'All practice data'!B:BC,A15+2,FALSE)</f>
        <v>33846</v>
      </c>
      <c r="Q15" s="38">
        <f>VLOOKUP('Hide - Control'!$B$4,'All practice data'!B:BJ,60,FALSE)</f>
        <v>57163</v>
      </c>
      <c r="R15" s="38">
        <f t="shared" si="17"/>
        <v>0.5880614477247474</v>
      </c>
      <c r="S15" s="38">
        <f t="shared" si="18"/>
        <v>0.5961187466906109</v>
      </c>
      <c r="T15" s="53">
        <f t="shared" si="16"/>
        <v>0.6521739959716797</v>
      </c>
      <c r="U15" s="51">
        <f t="shared" si="1"/>
        <v>0.47950801253318787</v>
      </c>
      <c r="V15" s="7"/>
      <c r="W15" s="27">
        <f t="shared" si="2"/>
        <v>0.47950801253318787</v>
      </c>
      <c r="X15" s="27">
        <f t="shared" si="3"/>
        <v>0.7115509808063507</v>
      </c>
      <c r="Y15" s="27">
        <f t="shared" si="4"/>
        <v>0.47950801253318787</v>
      </c>
      <c r="Z15" s="27">
        <f t="shared" si="5"/>
        <v>0.7115509808063507</v>
      </c>
      <c r="AA15" s="32">
        <f t="shared" si="6"/>
        <v>0</v>
      </c>
      <c r="AB15" s="33">
        <f t="shared" si="7"/>
        <v>0.40068545492141733</v>
      </c>
      <c r="AC15" s="33">
        <v>0.5</v>
      </c>
      <c r="AD15" s="33">
        <f t="shared" si="8"/>
        <v>0.5655352443530561</v>
      </c>
      <c r="AE15" s="33">
        <f t="shared" si="9"/>
        <v>0.7441121130429087</v>
      </c>
      <c r="AF15" s="33">
        <f t="shared" si="10"/>
        <v>-999</v>
      </c>
      <c r="AG15" s="33">
        <f t="shared" si="11"/>
        <v>0.5282383188725506</v>
      </c>
      <c r="AH15" s="33">
        <f t="shared" si="12"/>
        <v>-999</v>
      </c>
      <c r="AI15" s="34">
        <f t="shared" si="13"/>
        <v>0.15178812560271515</v>
      </c>
      <c r="AJ15" s="4">
        <v>11.310014695494289</v>
      </c>
      <c r="AK15" s="32">
        <f t="shared" si="14"/>
        <v>-999</v>
      </c>
      <c r="AL15" s="34">
        <f t="shared" si="15"/>
        <v>-999</v>
      </c>
      <c r="AY15" s="103" t="s">
        <v>229</v>
      </c>
      <c r="AZ15" s="103" t="s">
        <v>230</v>
      </c>
      <c r="BA15" s="103" t="s">
        <v>345</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401</v>
      </c>
      <c r="E16" s="38">
        <f>IF(LEFT(VLOOKUP($B16,'Indicator chart'!$D$1:$J$36,5,FALSE),1)=" "," ",VLOOKUP($B16,'Indicator chart'!$D$1:$J$36,5,FALSE))</f>
        <v>0.614089</v>
      </c>
      <c r="F16" s="38">
        <f>IF(LEFT(VLOOKUP($B16,'Indicator chart'!$D$1:$J$36,6,FALSE),1)=" "," ",VLOOKUP($B16,'Indicator chart'!$D$1:$J$36,6,FALSE))</f>
        <v>0.5761862695055845</v>
      </c>
      <c r="G16" s="38">
        <f>IF(LEFT(VLOOKUP($B16,'Indicator chart'!$D$1:$J$36,7,FALSE),1)=" "," ",VLOOKUP($B16,'Indicator chart'!$D$1:$J$36,7,FALSE))</f>
        <v>0.6506568537070745</v>
      </c>
      <c r="H16" s="50">
        <f t="shared" si="0"/>
        <v>2</v>
      </c>
      <c r="I16" s="38">
        <v>0.4846149981021881</v>
      </c>
      <c r="J16" s="38">
        <v>0.5878854990005493</v>
      </c>
      <c r="K16" s="38">
        <v>0.6092715263366699</v>
      </c>
      <c r="L16" s="38">
        <v>0.6383969783782959</v>
      </c>
      <c r="M16" s="38">
        <v>0.7028989791870117</v>
      </c>
      <c r="N16" s="80">
        <f>VLOOKUP('Hide - Control'!B$3,'All practice data'!A:CA,A16+29,FALSE)</f>
        <v>0.61211049876954</v>
      </c>
      <c r="O16" s="80">
        <f>VLOOKUP('Hide - Control'!C$3,'All practice data'!A:CA,A16+29,FALSE)</f>
        <v>0.5752927626212945</v>
      </c>
      <c r="P16" s="38">
        <f>VLOOKUP('Hide - Control'!$B$4,'All practice data'!B:BC,A16+2,FALSE)</f>
        <v>17660</v>
      </c>
      <c r="Q16" s="38">
        <f>VLOOKUP('Hide - Control'!$B$4,'All practice data'!B:BJ,61,FALSE)</f>
        <v>28851</v>
      </c>
      <c r="R16" s="38">
        <f t="shared" si="17"/>
        <v>0.6064732319128634</v>
      </c>
      <c r="S16" s="38">
        <f t="shared" si="18"/>
        <v>0.6177179138808464</v>
      </c>
      <c r="T16" s="53">
        <f aca="true" t="shared" si="19" ref="T16:T31">IF($C16=1,M16,I16)</f>
        <v>0.7028989791870117</v>
      </c>
      <c r="U16" s="51">
        <f aca="true" t="shared" si="20" ref="U16:U31">IF($C16=1,I16,M16)</f>
        <v>0.4846149981021881</v>
      </c>
      <c r="V16" s="7"/>
      <c r="W16" s="27">
        <f t="shared" si="2"/>
        <v>0.4846149981021881</v>
      </c>
      <c r="X16" s="27">
        <f t="shared" si="3"/>
        <v>0.7339280545711517</v>
      </c>
      <c r="Y16" s="27">
        <f t="shared" si="4"/>
        <v>0.4846149981021881</v>
      </c>
      <c r="Z16" s="27">
        <f t="shared" si="5"/>
        <v>0.7339280545711517</v>
      </c>
      <c r="AA16" s="32">
        <f t="shared" si="6"/>
        <v>0</v>
      </c>
      <c r="AB16" s="33">
        <f t="shared" si="7"/>
        <v>0.4142201871052714</v>
      </c>
      <c r="AC16" s="33">
        <v>0.5</v>
      </c>
      <c r="AD16" s="33">
        <f t="shared" si="8"/>
        <v>0.616822810863304</v>
      </c>
      <c r="AE16" s="33">
        <f t="shared" si="9"/>
        <v>0.8755417152089556</v>
      </c>
      <c r="AF16" s="33">
        <f t="shared" si="10"/>
        <v>-999</v>
      </c>
      <c r="AG16" s="33">
        <f t="shared" si="11"/>
        <v>0.5193229898648721</v>
      </c>
      <c r="AH16" s="33">
        <f t="shared" si="12"/>
        <v>-999</v>
      </c>
      <c r="AI16" s="34">
        <f t="shared" si="13"/>
        <v>0.3637104522457877</v>
      </c>
      <c r="AJ16" s="4">
        <v>12.386010120876215</v>
      </c>
      <c r="AK16" s="32">
        <f t="shared" si="14"/>
        <v>-999</v>
      </c>
      <c r="AL16" s="34">
        <f t="shared" si="15"/>
        <v>-999</v>
      </c>
      <c r="AY16" s="103" t="s">
        <v>344</v>
      </c>
      <c r="AZ16" s="103" t="s">
        <v>364</v>
      </c>
      <c r="BA16" s="103" t="s">
        <v>524</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197</v>
      </c>
      <c r="E17" s="38">
        <f>IF(LEFT(VLOOKUP($B17,'Indicator chart'!$D$1:$J$36,5,FALSE),1)=" "," ",VLOOKUP($B17,'Indicator chart'!$D$1:$J$36,5,FALSE))</f>
        <v>1601.2354710233276</v>
      </c>
      <c r="F17" s="38">
        <f>IF(LEFT(VLOOKUP($B17,'Indicator chart'!$D$1:$J$36,6,FALSE),1)=" "," ",VLOOKUP($B17,'Indicator chart'!$D$1:$J$36,6,FALSE))</f>
        <v>1385.4174534544932</v>
      </c>
      <c r="G17" s="38">
        <f>IF(LEFT(VLOOKUP($B17,'Indicator chart'!$D$1:$J$36,7,FALSE),1)=" "," ",VLOOKUP($B17,'Indicator chart'!$D$1:$J$36,7,FALSE))</f>
        <v>1841.137826089224</v>
      </c>
      <c r="H17" s="50">
        <f t="shared" si="0"/>
        <v>2</v>
      </c>
      <c r="I17" s="38">
        <v>666.906982421875</v>
      </c>
      <c r="J17" s="38">
        <v>1246.1380615234375</v>
      </c>
      <c r="K17" s="38">
        <v>1676.5467529296875</v>
      </c>
      <c r="L17" s="38">
        <v>2040.37548828125</v>
      </c>
      <c r="M17" s="38">
        <v>3523.284423828125</v>
      </c>
      <c r="N17" s="80">
        <f>VLOOKUP('Hide - Control'!B$3,'All practice data'!A:CA,A17+29,FALSE)</f>
        <v>1609.0139382995058</v>
      </c>
      <c r="O17" s="80">
        <f>VLOOKUP('Hide - Control'!C$3,'All practice data'!A:CA,A17+29,FALSE)</f>
        <v>1812.1669120472948</v>
      </c>
      <c r="P17" s="38">
        <f>VLOOKUP('Hide - Control'!$B$4,'All practice data'!B:BC,A17+2,FALSE)</f>
        <v>7440</v>
      </c>
      <c r="Q17" s="38">
        <f>VLOOKUP('Hide - Control'!$B$4,'All practice data'!B:BC,3,FALSE)</f>
        <v>462395</v>
      </c>
      <c r="R17" s="38">
        <f>100000*(P17*(1-1/(9*P17)-1.96/(3*SQRT(P17)))^3)/Q17</f>
        <v>1572.6572195824124</v>
      </c>
      <c r="S17" s="38">
        <f>100000*((P17+1)*(1-1/(9*(P17+1))+1.96/(3*SQRT(P17+1)))^3)/Q17</f>
        <v>1645.999066288669</v>
      </c>
      <c r="T17" s="53">
        <f t="shared" si="19"/>
        <v>3523.284423828125</v>
      </c>
      <c r="U17" s="51">
        <f t="shared" si="20"/>
        <v>666.906982421875</v>
      </c>
      <c r="V17" s="7"/>
      <c r="W17" s="27">
        <f t="shared" si="2"/>
        <v>-170.19091796875</v>
      </c>
      <c r="X17" s="27">
        <f t="shared" si="3"/>
        <v>3523.284423828125</v>
      </c>
      <c r="Y17" s="27">
        <f t="shared" si="4"/>
        <v>-170.19091796875</v>
      </c>
      <c r="Z17" s="27">
        <f t="shared" si="5"/>
        <v>3523.284423828125</v>
      </c>
      <c r="AA17" s="32">
        <f t="shared" si="6"/>
        <v>0.22664234167687095</v>
      </c>
      <c r="AB17" s="33">
        <f t="shared" si="7"/>
        <v>0.3834678313577542</v>
      </c>
      <c r="AC17" s="33">
        <v>0.5</v>
      </c>
      <c r="AD17" s="33">
        <f t="shared" si="8"/>
        <v>0.5985057978414876</v>
      </c>
      <c r="AE17" s="33">
        <f t="shared" si="9"/>
        <v>1</v>
      </c>
      <c r="AF17" s="33">
        <f t="shared" si="10"/>
        <v>-999</v>
      </c>
      <c r="AG17" s="33">
        <f t="shared" si="11"/>
        <v>0.4796096426977306</v>
      </c>
      <c r="AH17" s="33">
        <f t="shared" si="12"/>
        <v>-999</v>
      </c>
      <c r="AI17" s="34">
        <f t="shared" si="13"/>
        <v>0.5367188478512024</v>
      </c>
      <c r="AJ17" s="4">
        <v>13.462005546258133</v>
      </c>
      <c r="AK17" s="32">
        <f t="shared" si="14"/>
        <v>-999</v>
      </c>
      <c r="AL17" s="34">
        <f t="shared" si="15"/>
        <v>-999</v>
      </c>
      <c r="AY17" s="103" t="s">
        <v>103</v>
      </c>
      <c r="AZ17" s="103" t="s">
        <v>104</v>
      </c>
      <c r="BA17" s="103" t="s">
        <v>345</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197</v>
      </c>
      <c r="E18" s="80">
        <f>IF(LEFT(VLOOKUP($B18,'Indicator chart'!$D$1:$J$36,5,FALSE),1)=" "," ",VLOOKUP($B18,'Indicator chart'!$D$1:$J$36,5,FALSE))</f>
        <v>0.8751690674</v>
      </c>
      <c r="F18" s="81">
        <f>IF(LEFT(VLOOKUP($B18,'Indicator chart'!$D$1:$J$36,6,FALSE),1)=" "," ",VLOOKUP($B18,'Indicator chart'!$D$1:$J$36,6,FALSE))</f>
        <v>0.7572195435000001</v>
      </c>
      <c r="G18" s="38">
        <f>IF(LEFT(VLOOKUP($B18,'Indicator chart'!$D$1:$J$36,7,FALSE),1)=" "," ",VLOOKUP($B18,'Indicator chart'!$D$1:$J$36,7,FALSE))</f>
        <v>1.00628334</v>
      </c>
      <c r="H18" s="50">
        <f>IF(LEFT(F18,1)=" ",4,IF(AND(ABS(N18-E18)&gt;SQRT((E18-G18)^2+(N18-R18)^2),E18&lt;N18),1,IF(AND(ABS(N18-E18)&gt;SQRT((E18-F18)^2+(N18-S18)^2),E18&gt;N18),3,2)))</f>
        <v>2</v>
      </c>
      <c r="I18" s="38">
        <v>0.34610581398010254</v>
      </c>
      <c r="J18" s="38"/>
      <c r="K18" s="38">
        <v>1</v>
      </c>
      <c r="L18" s="38"/>
      <c r="M18" s="38">
        <v>1.604729175567627</v>
      </c>
      <c r="N18" s="80">
        <v>1</v>
      </c>
      <c r="O18" s="80">
        <f>VLOOKUP('Hide - Control'!C$3,'All practice data'!A:CA,A18+29,FALSE)</f>
        <v>1</v>
      </c>
      <c r="P18" s="38">
        <f>VLOOKUP('Hide - Control'!$B$4,'All practice data'!B:BC,A18+2,FALSE)</f>
        <v>7440</v>
      </c>
      <c r="Q18" s="38">
        <f>VLOOKUP('Hide - Control'!$B$4,'All practice data'!B:BC,14,FALSE)</f>
        <v>7440</v>
      </c>
      <c r="R18" s="81">
        <v>1</v>
      </c>
      <c r="S18" s="38">
        <v>1</v>
      </c>
      <c r="T18" s="53">
        <f t="shared" si="19"/>
        <v>1.604729175567627</v>
      </c>
      <c r="U18" s="51">
        <f t="shared" si="20"/>
        <v>0.34610581398010254</v>
      </c>
      <c r="V18" s="7"/>
      <c r="W18" s="27">
        <f>IF((K18-I18)&gt;(M18-K18),I18,(K18-(M18-K18)))</f>
        <v>0.34610581398010254</v>
      </c>
      <c r="X18" s="27">
        <f t="shared" si="3"/>
        <v>1.6538941860198975</v>
      </c>
      <c r="Y18" s="27">
        <f t="shared" si="4"/>
        <v>0.34610581398010254</v>
      </c>
      <c r="Z18" s="27">
        <f t="shared" si="5"/>
        <v>1.6538941860198975</v>
      </c>
      <c r="AA18" s="32" t="s">
        <v>345</v>
      </c>
      <c r="AB18" s="33" t="s">
        <v>345</v>
      </c>
      <c r="AC18" s="33">
        <v>0.5</v>
      </c>
      <c r="AD18" s="33" t="s">
        <v>345</v>
      </c>
      <c r="AE18" s="33" t="s">
        <v>345</v>
      </c>
      <c r="AF18" s="33">
        <f t="shared" si="10"/>
        <v>-999</v>
      </c>
      <c r="AG18" s="33">
        <f t="shared" si="11"/>
        <v>0.4045480635331712</v>
      </c>
      <c r="AH18" s="33">
        <f t="shared" si="12"/>
        <v>-999</v>
      </c>
      <c r="AI18" s="34">
        <v>0.5</v>
      </c>
      <c r="AJ18" s="4">
        <v>14.538000971640056</v>
      </c>
      <c r="AK18" s="32">
        <f t="shared" si="14"/>
        <v>-999</v>
      </c>
      <c r="AL18" s="34">
        <f t="shared" si="15"/>
        <v>-999</v>
      </c>
      <c r="AY18" s="103" t="s">
        <v>105</v>
      </c>
      <c r="AZ18" s="103" t="s">
        <v>106</v>
      </c>
      <c r="BA18" s="103" t="s">
        <v>345</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17</v>
      </c>
      <c r="E19" s="38">
        <f>IF(LEFT(VLOOKUP($B19,'Indicator chart'!$D$1:$J$36,5,FALSE),1)=" "," ",VLOOKUP($B19,'Indicator chart'!$D$1:$J$36,5,FALSE))</f>
        <v>0.08629441624365482</v>
      </c>
      <c r="F19" s="38">
        <f>IF(LEFT(VLOOKUP($B19,'Indicator chart'!$D$1:$J$36,6,FALSE),1)=" "," ",VLOOKUP($B19,'Indicator chart'!$D$1:$J$36,6,FALSE))</f>
        <v>0.054574530670731494</v>
      </c>
      <c r="G19" s="38">
        <f>IF(LEFT(VLOOKUP($B19,'Indicator chart'!$D$1:$J$36,7,FALSE),1)=" "," ",VLOOKUP($B19,'Indicator chart'!$D$1:$J$36,7,FALSE))</f>
        <v>0.13384061838205438</v>
      </c>
      <c r="H19" s="50">
        <f t="shared" si="0"/>
        <v>2</v>
      </c>
      <c r="I19" s="38">
        <v>0.02070442959666252</v>
      </c>
      <c r="J19" s="38">
        <v>0.09279097616672516</v>
      </c>
      <c r="K19" s="38">
        <v>0.12738549709320068</v>
      </c>
      <c r="L19" s="38">
        <v>0.1600910872220993</v>
      </c>
      <c r="M19" s="38">
        <v>0.28723403811454773</v>
      </c>
      <c r="N19" s="80">
        <f>VLOOKUP('Hide - Control'!B$3,'All practice data'!A:CA,A19+29,FALSE)</f>
        <v>0.13024193548387097</v>
      </c>
      <c r="O19" s="80">
        <f>VLOOKUP('Hide - Control'!C$3,'All practice data'!A:CA,A19+29,FALSE)</f>
        <v>0.10919341638628717</v>
      </c>
      <c r="P19" s="38">
        <f>VLOOKUP('Hide - Control'!$B$4,'All practice data'!B:BC,A19+2,FALSE)</f>
        <v>969</v>
      </c>
      <c r="Q19" s="38">
        <f>VLOOKUP('Hide - Control'!$B$4,'All practice data'!B:BC,15,FALSE)</f>
        <v>7440</v>
      </c>
      <c r="R19" s="38">
        <f>+((2*P19+1.96^2-1.96*SQRT(1.96^2+4*P19*(1-P19/Q19)))/(2*(Q19+1.96^2)))</f>
        <v>0.12278441599030418</v>
      </c>
      <c r="S19" s="38">
        <f>+((2*P19+1.96^2+1.96*SQRT(1.96^2+4*P19*(1-P19/Q19)))/(2*(Q19+1.96^2)))</f>
        <v>0.13808110269563884</v>
      </c>
      <c r="T19" s="53">
        <f t="shared" si="19"/>
        <v>0.28723403811454773</v>
      </c>
      <c r="U19" s="51">
        <f t="shared" si="20"/>
        <v>0.02070442959666252</v>
      </c>
      <c r="V19" s="7"/>
      <c r="W19" s="27">
        <f t="shared" si="2"/>
        <v>-0.03246304392814636</v>
      </c>
      <c r="X19" s="27">
        <f t="shared" si="3"/>
        <v>0.28723403811454773</v>
      </c>
      <c r="Y19" s="27">
        <f t="shared" si="4"/>
        <v>-0.03246304392814636</v>
      </c>
      <c r="Z19" s="27">
        <f t="shared" si="5"/>
        <v>0.28723403811454773</v>
      </c>
      <c r="AA19" s="32">
        <f t="shared" si="6"/>
        <v>0.16630578291518033</v>
      </c>
      <c r="AB19" s="33">
        <f t="shared" si="7"/>
        <v>0.3917896882091167</v>
      </c>
      <c r="AC19" s="33">
        <v>0.5</v>
      </c>
      <c r="AD19" s="33">
        <f t="shared" si="8"/>
        <v>0.6023018099506173</v>
      </c>
      <c r="AE19" s="33">
        <f t="shared" si="9"/>
        <v>1</v>
      </c>
      <c r="AF19" s="33">
        <f t="shared" si="10"/>
        <v>-999</v>
      </c>
      <c r="AG19" s="33">
        <f t="shared" si="11"/>
        <v>0.37146870222588285</v>
      </c>
      <c r="AH19" s="33">
        <f t="shared" si="12"/>
        <v>-999</v>
      </c>
      <c r="AI19" s="34">
        <f t="shared" si="13"/>
        <v>0.44309588129276684</v>
      </c>
      <c r="AJ19" s="4">
        <v>15.61399639702198</v>
      </c>
      <c r="AK19" s="32">
        <f t="shared" si="14"/>
        <v>-999</v>
      </c>
      <c r="AL19" s="34">
        <f t="shared" si="15"/>
        <v>-999</v>
      </c>
      <c r="AY19" s="103" t="s">
        <v>270</v>
      </c>
      <c r="AZ19" s="103" t="s">
        <v>463</v>
      </c>
      <c r="BA19" s="103" t="s">
        <v>345</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53</v>
      </c>
      <c r="E20" s="38">
        <f>IF(LEFT(VLOOKUP($B20,'Indicator chart'!$D$1:$J$36,5,FALSE),1)=" "," ",VLOOKUP($B20,'Indicator chart'!$D$1:$J$36,5,FALSE))</f>
        <v>0.32075471698113206</v>
      </c>
      <c r="F20" s="38">
        <f>IF(LEFT(VLOOKUP($B20,'Indicator chart'!$D$1:$J$36,6,FALSE),1)=" "," ",VLOOKUP($B20,'Indicator chart'!$D$1:$J$36,6,FALSE))</f>
        <v>0.21092044589340303</v>
      </c>
      <c r="G20" s="38">
        <f>IF(LEFT(VLOOKUP($B20,'Indicator chart'!$D$1:$J$36,7,FALSE),1)=" "," ",VLOOKUP($B20,'Indicator chart'!$D$1:$J$36,7,FALSE))</f>
        <v>0.4548173236275112</v>
      </c>
      <c r="H20" s="50">
        <f t="shared" si="0"/>
        <v>2</v>
      </c>
      <c r="I20" s="38">
        <v>0.09238772839307785</v>
      </c>
      <c r="J20" s="38">
        <v>0.32253211736679077</v>
      </c>
      <c r="K20" s="38">
        <v>0.3908730149269104</v>
      </c>
      <c r="L20" s="38">
        <v>0.4972222149372101</v>
      </c>
      <c r="M20" s="38">
        <v>0.6875</v>
      </c>
      <c r="N20" s="80">
        <f>VLOOKUP('Hide - Control'!B$3,'All practice data'!A:CA,A20+29,FALSE)</f>
        <v>0.4030782029950083</v>
      </c>
      <c r="O20" s="80">
        <f>VLOOKUP('Hide - Control'!C$3,'All practice data'!A:CA,A20+29,FALSE)</f>
        <v>0.4534552930810221</v>
      </c>
      <c r="P20" s="38">
        <f>VLOOKUP('Hide - Control'!$B$4,'All practice data'!B:BC,A20+1,FALSE)</f>
        <v>969</v>
      </c>
      <c r="Q20" s="38">
        <f>VLOOKUP('Hide - Control'!$B$4,'All practice data'!B:BC,A20+2,FALSE)</f>
        <v>2404</v>
      </c>
      <c r="R20" s="38">
        <f>+((2*P20+1.96^2-1.96*SQRT(1.96^2+4*P20*(1-P20/Q20)))/(2*(Q20+1.96^2)))</f>
        <v>0.38363947282101657</v>
      </c>
      <c r="S20" s="38">
        <f>+((2*P20+1.96^2+1.96*SQRT(1.96^2+4*P20*(1-P20/Q20)))/(2*(Q20+1.96^2)))</f>
        <v>0.422826201665212</v>
      </c>
      <c r="T20" s="53">
        <f t="shared" si="19"/>
        <v>0.6875</v>
      </c>
      <c r="U20" s="51">
        <f t="shared" si="20"/>
        <v>0.09238772839307785</v>
      </c>
      <c r="V20" s="7"/>
      <c r="W20" s="27">
        <f t="shared" si="2"/>
        <v>0.09238772839307785</v>
      </c>
      <c r="X20" s="27">
        <f t="shared" si="3"/>
        <v>0.689358301460743</v>
      </c>
      <c r="Y20" s="27">
        <f t="shared" si="4"/>
        <v>0.09238772839307785</v>
      </c>
      <c r="Z20" s="27">
        <f t="shared" si="5"/>
        <v>0.689358301460743</v>
      </c>
      <c r="AA20" s="32">
        <f t="shared" si="6"/>
        <v>0</v>
      </c>
      <c r="AB20" s="33">
        <f t="shared" si="7"/>
        <v>0.38552049189135934</v>
      </c>
      <c r="AC20" s="33">
        <v>0.5</v>
      </c>
      <c r="AD20" s="33">
        <f t="shared" si="8"/>
        <v>0.6781481446628111</v>
      </c>
      <c r="AE20" s="33">
        <f t="shared" si="9"/>
        <v>0.9968871137965919</v>
      </c>
      <c r="AF20" s="33">
        <f t="shared" si="10"/>
        <v>-999</v>
      </c>
      <c r="AG20" s="33">
        <f t="shared" si="11"/>
        <v>0.38254312505646637</v>
      </c>
      <c r="AH20" s="33">
        <f t="shared" si="12"/>
        <v>-999</v>
      </c>
      <c r="AI20" s="34">
        <f t="shared" si="13"/>
        <v>0.6048331039711369</v>
      </c>
      <c r="AJ20" s="4">
        <v>16.689991822403904</v>
      </c>
      <c r="AK20" s="32">
        <f t="shared" si="14"/>
        <v>-999</v>
      </c>
      <c r="AL20" s="34">
        <f t="shared" si="15"/>
        <v>-999</v>
      </c>
      <c r="AY20" s="103" t="s">
        <v>211</v>
      </c>
      <c r="AZ20" s="103" t="s">
        <v>444</v>
      </c>
      <c r="BA20" s="103" t="s">
        <v>345</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43</v>
      </c>
      <c r="E21" s="38">
        <f>IF(LEFT(VLOOKUP($B21,'Indicator chart'!$D$1:$J$36,5,FALSE),1)=" "," ",VLOOKUP($B21,'Indicator chart'!$D$1:$J$36,5,FALSE))</f>
        <v>349.50825002032025</v>
      </c>
      <c r="F21" s="38">
        <f>IF(LEFT(VLOOKUP($B21,'Indicator chart'!$D$1:$J$36,6,FALSE),1)=" "," ",VLOOKUP($B21,'Indicator chart'!$D$1:$J$36,6,FALSE))</f>
        <v>252.91376455048982</v>
      </c>
      <c r="G21" s="38">
        <f>IF(LEFT(VLOOKUP($B21,'Indicator chart'!$D$1:$J$36,7,FALSE),1)=" "," ",VLOOKUP($B21,'Indicator chart'!$D$1:$J$36,7,FALSE))</f>
        <v>470.7993048703072</v>
      </c>
      <c r="H21" s="50">
        <f t="shared" si="0"/>
        <v>2</v>
      </c>
      <c r="I21" s="38">
        <v>61.46357345581055</v>
      </c>
      <c r="J21" s="38">
        <v>237.84950256347656</v>
      </c>
      <c r="K21" s="38">
        <v>337.8885192871094</v>
      </c>
      <c r="L21" s="38">
        <v>463.0306396484375</v>
      </c>
      <c r="M21" s="38">
        <v>622.5470581054688</v>
      </c>
      <c r="N21" s="80">
        <f>VLOOKUP('Hide - Control'!B$3,'All practice data'!A:CA,A21+29,FALSE)</f>
        <v>332.399788059992</v>
      </c>
      <c r="O21" s="80">
        <f>VLOOKUP('Hide - Control'!C$3,'All practice data'!A:CA,A21+29,FALSE)</f>
        <v>377.7293140102421</v>
      </c>
      <c r="P21" s="38">
        <f>VLOOKUP('Hide - Control'!$B$4,'All practice data'!B:BC,A21+2,FALSE)</f>
        <v>1537</v>
      </c>
      <c r="Q21" s="38">
        <f>VLOOKUP('Hide - Control'!$B$4,'All practice data'!B:BC,3,FALSE)</f>
        <v>462395</v>
      </c>
      <c r="R21" s="38">
        <f aca="true" t="shared" si="21" ref="R21:R27">100000*(P21*(1-1/(9*P21)-1.96/(3*SQRT(P21)))^3)/Q21</f>
        <v>315.9874410882222</v>
      </c>
      <c r="S21" s="38">
        <f aca="true" t="shared" si="22" ref="S21:S27">100000*((P21+1)*(1-1/(9*(P21+1))+1.96/(3*SQRT(P21+1)))^3)/Q21</f>
        <v>349.4434691513044</v>
      </c>
      <c r="T21" s="53">
        <f t="shared" si="19"/>
        <v>622.5470581054688</v>
      </c>
      <c r="U21" s="51">
        <f t="shared" si="20"/>
        <v>61.46357345581055</v>
      </c>
      <c r="V21" s="7"/>
      <c r="W21" s="27">
        <f t="shared" si="2"/>
        <v>53.22998046875</v>
      </c>
      <c r="X21" s="27">
        <f t="shared" si="3"/>
        <v>622.5470581054688</v>
      </c>
      <c r="Y21" s="27">
        <f t="shared" si="4"/>
        <v>53.22998046875</v>
      </c>
      <c r="Z21" s="27">
        <f t="shared" si="5"/>
        <v>622.5470581054688</v>
      </c>
      <c r="AA21" s="32">
        <f t="shared" si="6"/>
        <v>0.014462227307915753</v>
      </c>
      <c r="AB21" s="33">
        <f t="shared" si="7"/>
        <v>0.32428242423553694</v>
      </c>
      <c r="AC21" s="33">
        <v>0.5</v>
      </c>
      <c r="AD21" s="33">
        <f t="shared" si="8"/>
        <v>0.7198109371333162</v>
      </c>
      <c r="AE21" s="33">
        <f t="shared" si="9"/>
        <v>1</v>
      </c>
      <c r="AF21" s="33">
        <f t="shared" si="10"/>
        <v>-999</v>
      </c>
      <c r="AG21" s="33">
        <f t="shared" si="11"/>
        <v>0.5204099458625856</v>
      </c>
      <c r="AH21" s="33">
        <f t="shared" si="12"/>
        <v>-999</v>
      </c>
      <c r="AI21" s="34">
        <f t="shared" si="13"/>
        <v>0.5699799747594347</v>
      </c>
      <c r="AJ21" s="4">
        <v>17.765987247785823</v>
      </c>
      <c r="AK21" s="32">
        <f t="shared" si="14"/>
        <v>-999</v>
      </c>
      <c r="AL21" s="34">
        <f t="shared" si="15"/>
        <v>-999</v>
      </c>
      <c r="AY21" s="103" t="s">
        <v>123</v>
      </c>
      <c r="AZ21" s="103" t="s">
        <v>418</v>
      </c>
      <c r="BA21" s="103" t="s">
        <v>345</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29</v>
      </c>
      <c r="E22" s="38">
        <f>IF(LEFT(VLOOKUP($B22,'Indicator chart'!$D$1:$J$36,5,FALSE),1)=" "," ",VLOOKUP($B22,'Indicator chart'!$D$1:$J$36,5,FALSE))</f>
        <v>235.71486629277413</v>
      </c>
      <c r="F22" s="38">
        <f>IF(LEFT(VLOOKUP($B22,'Indicator chart'!$D$1:$J$36,6,FALSE),1)=" "," ",VLOOKUP($B22,'Indicator chart'!$D$1:$J$36,6,FALSE))</f>
        <v>157.8280642547907</v>
      </c>
      <c r="G22" s="38">
        <f>IF(LEFT(VLOOKUP($B22,'Indicator chart'!$D$1:$J$36,7,FALSE),1)=" "," ",VLOOKUP($B22,'Indicator chart'!$D$1:$J$36,7,FALSE))</f>
        <v>338.54013890590164</v>
      </c>
      <c r="H22" s="50">
        <f t="shared" si="0"/>
        <v>2</v>
      </c>
      <c r="I22" s="38">
        <v>18.07059669494629</v>
      </c>
      <c r="J22" s="38">
        <v>195.94393920898438</v>
      </c>
      <c r="K22" s="38">
        <v>294.7658996582031</v>
      </c>
      <c r="L22" s="38">
        <v>424.7525634765625</v>
      </c>
      <c r="M22" s="38">
        <v>1178.9925537109375</v>
      </c>
      <c r="N22" s="80">
        <f>VLOOKUP('Hide - Control'!B$3,'All practice data'!A:CA,A22+29,FALSE)</f>
        <v>310.7732566312352</v>
      </c>
      <c r="O22" s="80">
        <f>VLOOKUP('Hide - Control'!C$3,'All practice data'!A:CA,A22+29,FALSE)</f>
        <v>282.45290788403287</v>
      </c>
      <c r="P22" s="38">
        <f>VLOOKUP('Hide - Control'!$B$4,'All practice data'!B:BC,A22+2,FALSE)</f>
        <v>1437</v>
      </c>
      <c r="Q22" s="38">
        <f>VLOOKUP('Hide - Control'!$B$4,'All practice data'!B:BC,3,FALSE)</f>
        <v>462395</v>
      </c>
      <c r="R22" s="38">
        <f t="shared" si="21"/>
        <v>294.910629491128</v>
      </c>
      <c r="S22" s="38">
        <f t="shared" si="22"/>
        <v>327.26740070459255</v>
      </c>
      <c r="T22" s="53">
        <f t="shared" si="19"/>
        <v>1178.9925537109375</v>
      </c>
      <c r="U22" s="51">
        <f t="shared" si="20"/>
        <v>18.07059669494629</v>
      </c>
      <c r="V22" s="7"/>
      <c r="W22" s="27">
        <f t="shared" si="2"/>
        <v>-589.4607543945312</v>
      </c>
      <c r="X22" s="27">
        <f t="shared" si="3"/>
        <v>1178.9925537109375</v>
      </c>
      <c r="Y22" s="27">
        <f t="shared" si="4"/>
        <v>-589.4607543945312</v>
      </c>
      <c r="Z22" s="27">
        <f t="shared" si="5"/>
        <v>1178.9925537109375</v>
      </c>
      <c r="AA22" s="32">
        <f t="shared" si="6"/>
        <v>0.3435382479734913</v>
      </c>
      <c r="AB22" s="33">
        <f t="shared" si="7"/>
        <v>0.44411955351250637</v>
      </c>
      <c r="AC22" s="33">
        <v>0.5</v>
      </c>
      <c r="AD22" s="33">
        <f t="shared" si="8"/>
        <v>0.5735030227954467</v>
      </c>
      <c r="AE22" s="33">
        <f t="shared" si="9"/>
        <v>1</v>
      </c>
      <c r="AF22" s="33">
        <f t="shared" si="10"/>
        <v>-999</v>
      </c>
      <c r="AG22" s="33">
        <f t="shared" si="11"/>
        <v>0.4666086556570216</v>
      </c>
      <c r="AH22" s="33">
        <f t="shared" si="12"/>
        <v>-999</v>
      </c>
      <c r="AI22" s="34">
        <f t="shared" si="13"/>
        <v>0.49303742331350486</v>
      </c>
      <c r="AJ22" s="4">
        <v>18.841982673167745</v>
      </c>
      <c r="AK22" s="32">
        <f t="shared" si="14"/>
        <v>-999</v>
      </c>
      <c r="AL22" s="34">
        <f t="shared" si="15"/>
        <v>-999</v>
      </c>
      <c r="AY22" s="103" t="s">
        <v>149</v>
      </c>
      <c r="AZ22" s="103" t="s">
        <v>428</v>
      </c>
      <c r="BA22" s="103" t="s">
        <v>345</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29.26333999633789</v>
      </c>
      <c r="K23" s="38">
        <v>54.375606536865234</v>
      </c>
      <c r="L23" s="38">
        <v>80.89817810058594</v>
      </c>
      <c r="M23" s="38">
        <v>225.39443969726562</v>
      </c>
      <c r="N23" s="80">
        <f>VLOOKUP('Hide - Control'!B$3,'All practice data'!A:CA,A23+29,FALSE)</f>
        <v>60.1217573719439</v>
      </c>
      <c r="O23" s="80">
        <f>VLOOKUP('Hide - Control'!C$3,'All practice data'!A:CA,A23+29,FALSE)</f>
        <v>70.46674929228394</v>
      </c>
      <c r="P23" s="38">
        <f>VLOOKUP('Hide - Control'!$B$4,'All practice data'!B:BC,A23+2,FALSE)</f>
        <v>278</v>
      </c>
      <c r="Q23" s="38">
        <f>VLOOKUP('Hide - Control'!$B$4,'All practice data'!B:BC,3,FALSE)</f>
        <v>462395</v>
      </c>
      <c r="R23" s="38">
        <f t="shared" si="21"/>
        <v>53.261060940671946</v>
      </c>
      <c r="S23" s="38">
        <f t="shared" si="22"/>
        <v>67.62095221425443</v>
      </c>
      <c r="T23" s="53">
        <f t="shared" si="19"/>
        <v>225.39443969726562</v>
      </c>
      <c r="U23" s="51">
        <f t="shared" si="20"/>
        <v>3.248678207397461</v>
      </c>
      <c r="V23" s="7"/>
      <c r="W23" s="27">
        <f t="shared" si="2"/>
        <v>-116.64322662353516</v>
      </c>
      <c r="X23" s="27">
        <f t="shared" si="3"/>
        <v>225.39443969726562</v>
      </c>
      <c r="Y23" s="27">
        <f t="shared" si="4"/>
        <v>-116.64322662353516</v>
      </c>
      <c r="Z23" s="27">
        <f t="shared" si="5"/>
        <v>225.39443969726562</v>
      </c>
      <c r="AA23" s="32">
        <f t="shared" si="6"/>
        <v>0.3505225202843149</v>
      </c>
      <c r="AB23" s="33">
        <f t="shared" si="7"/>
        <v>0.42658040615627907</v>
      </c>
      <c r="AC23" s="33">
        <v>0.5</v>
      </c>
      <c r="AD23" s="33">
        <f t="shared" si="8"/>
        <v>0.5775428386265649</v>
      </c>
      <c r="AE23" s="33">
        <f t="shared" si="9"/>
        <v>1</v>
      </c>
      <c r="AF23" s="33">
        <f t="shared" si="10"/>
        <v>-999</v>
      </c>
      <c r="AG23" s="33">
        <f t="shared" si="11"/>
        <v>-999</v>
      </c>
      <c r="AH23" s="33">
        <f t="shared" si="12"/>
        <v>-999</v>
      </c>
      <c r="AI23" s="34">
        <f t="shared" si="13"/>
        <v>0.5470449437002258</v>
      </c>
      <c r="AJ23" s="4">
        <v>19.917978098549675</v>
      </c>
      <c r="AK23" s="32">
        <f t="shared" si="14"/>
        <v>-999</v>
      </c>
      <c r="AL23" s="34">
        <f t="shared" si="15"/>
        <v>-999</v>
      </c>
      <c r="AY23" s="103" t="s">
        <v>264</v>
      </c>
      <c r="AZ23" s="103" t="s">
        <v>265</v>
      </c>
      <c r="BA23" s="103" t="s">
        <v>345</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41</v>
      </c>
      <c r="E24" s="38">
        <f>IF(LEFT(VLOOKUP($B24,'Indicator chart'!$D$1:$J$36,5,FALSE),1)=" "," ",VLOOKUP($B24,'Indicator chart'!$D$1:$J$36,5,FALSE))</f>
        <v>333.2520523449565</v>
      </c>
      <c r="F24" s="38">
        <f>IF(LEFT(VLOOKUP($B24,'Indicator chart'!$D$1:$J$36,6,FALSE),1)=" "," ",VLOOKUP($B24,'Indicator chart'!$D$1:$J$36,6,FALSE))</f>
        <v>239.11961697391084</v>
      </c>
      <c r="G24" s="38">
        <f>IF(LEFT(VLOOKUP($B24,'Indicator chart'!$D$1:$J$36,7,FALSE),1)=" "," ",VLOOKUP($B24,'Indicator chart'!$D$1:$J$36,7,FALSE))</f>
        <v>452.1080811750439</v>
      </c>
      <c r="H24" s="50">
        <f t="shared" si="0"/>
        <v>2</v>
      </c>
      <c r="I24" s="38">
        <v>27.3076171875</v>
      </c>
      <c r="J24" s="38">
        <v>233.53262329101562</v>
      </c>
      <c r="K24" s="38">
        <v>300.7646179199219</v>
      </c>
      <c r="L24" s="38">
        <v>459.6565246582031</v>
      </c>
      <c r="M24" s="38">
        <v>919.11767578125</v>
      </c>
      <c r="N24" s="80">
        <f>VLOOKUP('Hide - Control'!B$3,'All practice data'!A:CA,A24+29,FALSE)</f>
        <v>329.15580834567845</v>
      </c>
      <c r="O24" s="80">
        <f>VLOOKUP('Hide - Control'!C$3,'All practice data'!A:CA,A24+29,FALSE)</f>
        <v>323.23046266988894</v>
      </c>
      <c r="P24" s="38">
        <f>VLOOKUP('Hide - Control'!$B$4,'All practice data'!B:BC,A24+2,FALSE)</f>
        <v>1522</v>
      </c>
      <c r="Q24" s="38">
        <f>VLOOKUP('Hide - Control'!$B$4,'All practice data'!B:BC,3,FALSE)</f>
        <v>462395</v>
      </c>
      <c r="R24" s="38">
        <f t="shared" si="21"/>
        <v>312.8247542861531</v>
      </c>
      <c r="S24" s="38">
        <f t="shared" si="22"/>
        <v>346.1182227981546</v>
      </c>
      <c r="T24" s="53">
        <f t="shared" si="19"/>
        <v>919.11767578125</v>
      </c>
      <c r="U24" s="51">
        <f t="shared" si="20"/>
        <v>27.3076171875</v>
      </c>
      <c r="V24" s="7"/>
      <c r="W24" s="27">
        <f t="shared" si="2"/>
        <v>-317.58843994140625</v>
      </c>
      <c r="X24" s="27">
        <f t="shared" si="3"/>
        <v>919.11767578125</v>
      </c>
      <c r="Y24" s="27">
        <f t="shared" si="4"/>
        <v>-317.58843994140625</v>
      </c>
      <c r="Z24" s="27">
        <f t="shared" si="5"/>
        <v>919.11767578125</v>
      </c>
      <c r="AA24" s="32">
        <f t="shared" si="6"/>
        <v>0.2788827941773134</v>
      </c>
      <c r="AB24" s="33">
        <f t="shared" si="7"/>
        <v>0.44563623986801426</v>
      </c>
      <c r="AC24" s="33">
        <v>0.5</v>
      </c>
      <c r="AD24" s="33">
        <f t="shared" si="8"/>
        <v>0.6284799231751469</v>
      </c>
      <c r="AE24" s="33">
        <f t="shared" si="9"/>
        <v>1</v>
      </c>
      <c r="AF24" s="33">
        <f t="shared" si="10"/>
        <v>-999</v>
      </c>
      <c r="AG24" s="33">
        <f t="shared" si="11"/>
        <v>0.526269324629361</v>
      </c>
      <c r="AH24" s="33">
        <f t="shared" si="12"/>
        <v>-999</v>
      </c>
      <c r="AI24" s="34">
        <f t="shared" si="13"/>
        <v>0.5181658717979569</v>
      </c>
      <c r="AJ24" s="4">
        <v>20.99397352393159</v>
      </c>
      <c r="AK24" s="32">
        <f t="shared" si="14"/>
        <v>-999</v>
      </c>
      <c r="AL24" s="34">
        <f t="shared" si="15"/>
        <v>-999</v>
      </c>
      <c r="AY24" s="103" t="s">
        <v>65</v>
      </c>
      <c r="AZ24" s="103" t="s">
        <v>66</v>
      </c>
      <c r="BA24" s="103" t="s">
        <v>524</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65</v>
      </c>
      <c r="E25" s="38">
        <f>IF(LEFT(VLOOKUP($B25,'Indicator chart'!$D$1:$J$36,5,FALSE),1)=" "," ",VLOOKUP($B25,'Indicator chart'!$D$1:$J$36,5,FALSE))</f>
        <v>528.3264244493213</v>
      </c>
      <c r="F25" s="38">
        <f>IF(LEFT(VLOOKUP($B25,'Indicator chart'!$D$1:$J$36,6,FALSE),1)=" "," ",VLOOKUP($B25,'Indicator chart'!$D$1:$J$36,6,FALSE))</f>
        <v>407.72936201713185</v>
      </c>
      <c r="G25" s="38">
        <f>IF(LEFT(VLOOKUP($B25,'Indicator chart'!$D$1:$J$36,7,FALSE),1)=" "," ",VLOOKUP($B25,'Indicator chart'!$D$1:$J$36,7,FALSE))</f>
        <v>673.4087541688048</v>
      </c>
      <c r="H25" s="50">
        <f t="shared" si="0"/>
        <v>2</v>
      </c>
      <c r="I25" s="38">
        <v>165.1982421875</v>
      </c>
      <c r="J25" s="38">
        <v>393.3003845214844</v>
      </c>
      <c r="K25" s="38">
        <v>485.329833984375</v>
      </c>
      <c r="L25" s="38">
        <v>608.9551391601562</v>
      </c>
      <c r="M25" s="38">
        <v>1005.1829833984375</v>
      </c>
      <c r="N25" s="80">
        <f>VLOOKUP('Hide - Control'!B$3,'All practice data'!A:CA,A25+29,FALSE)</f>
        <v>531.147611890267</v>
      </c>
      <c r="O25" s="80">
        <f>VLOOKUP('Hide - Control'!C$3,'All practice data'!A:CA,A25+29,FALSE)</f>
        <v>562.6134400960308</v>
      </c>
      <c r="P25" s="38">
        <f>VLOOKUP('Hide - Control'!$B$4,'All practice data'!B:BC,A25+2,FALSE)</f>
        <v>2456</v>
      </c>
      <c r="Q25" s="38">
        <f>VLOOKUP('Hide - Control'!$B$4,'All practice data'!B:BC,3,FALSE)</f>
        <v>462395</v>
      </c>
      <c r="R25" s="38">
        <f t="shared" si="21"/>
        <v>510.34646717543365</v>
      </c>
      <c r="S25" s="38">
        <f t="shared" si="22"/>
        <v>552.57897270487</v>
      </c>
      <c r="T25" s="53">
        <f t="shared" si="19"/>
        <v>1005.1829833984375</v>
      </c>
      <c r="U25" s="51">
        <f t="shared" si="20"/>
        <v>165.1982421875</v>
      </c>
      <c r="V25" s="7"/>
      <c r="W25" s="27">
        <f t="shared" si="2"/>
        <v>-34.5233154296875</v>
      </c>
      <c r="X25" s="27">
        <f t="shared" si="3"/>
        <v>1005.1829833984375</v>
      </c>
      <c r="Y25" s="27">
        <f t="shared" si="4"/>
        <v>-34.5233154296875</v>
      </c>
      <c r="Z25" s="27">
        <f t="shared" si="5"/>
        <v>1005.1829833984375</v>
      </c>
      <c r="AA25" s="32">
        <f t="shared" si="6"/>
        <v>0.19209420760680002</v>
      </c>
      <c r="AB25" s="33">
        <f t="shared" si="7"/>
        <v>0.41148514771275413</v>
      </c>
      <c r="AC25" s="33">
        <v>0.5</v>
      </c>
      <c r="AD25" s="33">
        <f t="shared" si="8"/>
        <v>0.6189040648451606</v>
      </c>
      <c r="AE25" s="33">
        <f t="shared" si="9"/>
        <v>1</v>
      </c>
      <c r="AF25" s="33">
        <f t="shared" si="10"/>
        <v>-999</v>
      </c>
      <c r="AG25" s="33">
        <f t="shared" si="11"/>
        <v>0.5413545541788183</v>
      </c>
      <c r="AH25" s="33">
        <f t="shared" si="12"/>
        <v>-999</v>
      </c>
      <c r="AI25" s="34">
        <f t="shared" si="13"/>
        <v>0.5743321514919778</v>
      </c>
      <c r="AJ25" s="4">
        <v>22.06996894931352</v>
      </c>
      <c r="AK25" s="32">
        <f t="shared" si="14"/>
        <v>-999</v>
      </c>
      <c r="AL25" s="34">
        <f t="shared" si="15"/>
        <v>-999</v>
      </c>
      <c r="AY25" s="103" t="s">
        <v>257</v>
      </c>
      <c r="AZ25" s="103" t="s">
        <v>258</v>
      </c>
      <c r="BA25" s="103" t="s">
        <v>524</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23</v>
      </c>
      <c r="E26" s="38">
        <f>IF(LEFT(VLOOKUP($B26,'Indicator chart'!$D$1:$J$36,5,FALSE),1)=" "," ",VLOOKUP($B26,'Indicator chart'!$D$1:$J$36,5,FALSE))</f>
        <v>186.94627326668294</v>
      </c>
      <c r="F26" s="38">
        <f>IF(LEFT(VLOOKUP($B26,'Indicator chart'!$D$1:$J$36,6,FALSE),1)=" "," ",VLOOKUP($B26,'Indicator chart'!$D$1:$J$36,6,FALSE))</f>
        <v>118.4690176894261</v>
      </c>
      <c r="G26" s="38">
        <f>IF(LEFT(VLOOKUP($B26,'Indicator chart'!$D$1:$J$36,7,FALSE),1)=" "," ",VLOOKUP($B26,'Indicator chart'!$D$1:$J$36,7,FALSE))</f>
        <v>280.5253602525936</v>
      </c>
      <c r="H26" s="50">
        <f t="shared" si="0"/>
        <v>1</v>
      </c>
      <c r="I26" s="38">
        <v>112.1823501586914</v>
      </c>
      <c r="J26" s="38">
        <v>204.44346618652344</v>
      </c>
      <c r="K26" s="38">
        <v>296.6278381347656</v>
      </c>
      <c r="L26" s="38">
        <v>528.91455078125</v>
      </c>
      <c r="M26" s="38">
        <v>980.3921508789062</v>
      </c>
      <c r="N26" s="80">
        <f>VLOOKUP('Hide - Control'!B$3,'All practice data'!A:CA,A26+29,FALSE)</f>
        <v>341.0504006314947</v>
      </c>
      <c r="O26" s="80">
        <f>VLOOKUP('Hide - Control'!C$3,'All practice data'!A:CA,A26+29,FALSE)</f>
        <v>405.57105879375996</v>
      </c>
      <c r="P26" s="38">
        <f>VLOOKUP('Hide - Control'!$B$4,'All practice data'!B:BC,A26+2,FALSE)</f>
        <v>1577</v>
      </c>
      <c r="Q26" s="38">
        <f>VLOOKUP('Hide - Control'!$B$4,'All practice data'!B:BC,3,FALSE)</f>
        <v>462395</v>
      </c>
      <c r="R26" s="38">
        <f t="shared" si="21"/>
        <v>324.42319190282245</v>
      </c>
      <c r="S26" s="38">
        <f t="shared" si="22"/>
        <v>358.30887525216514</v>
      </c>
      <c r="T26" s="53">
        <f t="shared" si="19"/>
        <v>980.3921508789062</v>
      </c>
      <c r="U26" s="51">
        <f t="shared" si="20"/>
        <v>112.1823501586914</v>
      </c>
      <c r="V26" s="7"/>
      <c r="W26" s="27">
        <f t="shared" si="2"/>
        <v>-387.136474609375</v>
      </c>
      <c r="X26" s="27">
        <f t="shared" si="3"/>
        <v>980.3921508789062</v>
      </c>
      <c r="Y26" s="27">
        <f t="shared" si="4"/>
        <v>-387.136474609375</v>
      </c>
      <c r="Z26" s="27">
        <f t="shared" si="5"/>
        <v>980.3921508789062</v>
      </c>
      <c r="AA26" s="32">
        <f t="shared" si="6"/>
        <v>0.3651249527517442</v>
      </c>
      <c r="AB26" s="33">
        <f t="shared" si="7"/>
        <v>0.43259053578105</v>
      </c>
      <c r="AC26" s="33">
        <v>0.5</v>
      </c>
      <c r="AD26" s="33">
        <f t="shared" si="8"/>
        <v>0.6698587571163606</v>
      </c>
      <c r="AE26" s="33">
        <f t="shared" si="9"/>
        <v>1</v>
      </c>
      <c r="AF26" s="33">
        <f t="shared" si="10"/>
        <v>-999</v>
      </c>
      <c r="AG26" s="33">
        <f t="shared" si="11"/>
        <v>-999</v>
      </c>
      <c r="AH26" s="33">
        <f t="shared" si="12"/>
        <v>0.4197957813651466</v>
      </c>
      <c r="AI26" s="34">
        <f t="shared" si="13"/>
        <v>0.5796643072974766</v>
      </c>
      <c r="AJ26" s="4">
        <v>23.145964374695435</v>
      </c>
      <c r="AK26" s="32">
        <f t="shared" si="14"/>
        <v>0.4197957813651466</v>
      </c>
      <c r="AL26" s="34">
        <f t="shared" si="15"/>
        <v>-999</v>
      </c>
      <c r="AY26" s="103" t="s">
        <v>120</v>
      </c>
      <c r="AZ26" s="103" t="s">
        <v>417</v>
      </c>
      <c r="BA26" s="103" t="s">
        <v>345</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172</v>
      </c>
      <c r="E27" s="38">
        <f>IF(LEFT(VLOOKUP($B27,'Indicator chart'!$D$1:$J$36,5,FALSE),1)=" "," ",VLOOKUP($B27,'Indicator chart'!$D$1:$J$36,5,FALSE))</f>
        <v>1398.033000081281</v>
      </c>
      <c r="F27" s="38">
        <f>IF(LEFT(VLOOKUP($B27,'Indicator chart'!$D$1:$J$36,6,FALSE),1)=" "," ",VLOOKUP($B27,'Indicator chart'!$D$1:$J$36,6,FALSE))</f>
        <v>1196.889907801039</v>
      </c>
      <c r="G27" s="38">
        <f>IF(LEFT(VLOOKUP($B27,'Indicator chart'!$D$1:$J$36,7,FALSE),1)=" "," ",VLOOKUP($B27,'Indicator chart'!$D$1:$J$36,7,FALSE))</f>
        <v>1623.2989092469575</v>
      </c>
      <c r="H27" s="50">
        <f t="shared" si="0"/>
        <v>3</v>
      </c>
      <c r="I27" s="38">
        <v>483.8514709472656</v>
      </c>
      <c r="J27" s="38">
        <v>930.66064453125</v>
      </c>
      <c r="K27" s="38">
        <v>1087.613525390625</v>
      </c>
      <c r="L27" s="38">
        <v>1273.527099609375</v>
      </c>
      <c r="M27" s="38">
        <v>1660.4805908203125</v>
      </c>
      <c r="N27" s="80">
        <f>VLOOKUP('Hide - Control'!B$3,'All practice data'!A:CA,A27+29,FALSE)</f>
        <v>1130.418797781118</v>
      </c>
      <c r="O27" s="80">
        <f>VLOOKUP('Hide - Control'!C$3,'All practice data'!A:CA,A27+29,FALSE)</f>
        <v>1059.3522061277838</v>
      </c>
      <c r="P27" s="38">
        <f>VLOOKUP('Hide - Control'!$B$4,'All practice data'!B:BC,A27+2,FALSE)</f>
        <v>5227</v>
      </c>
      <c r="Q27" s="38">
        <f>VLOOKUP('Hide - Control'!$B$4,'All practice data'!B:BC,3,FALSE)</f>
        <v>462395</v>
      </c>
      <c r="R27" s="38">
        <f t="shared" si="21"/>
        <v>1099.978433567485</v>
      </c>
      <c r="S27" s="38">
        <f t="shared" si="22"/>
        <v>1161.4880429953441</v>
      </c>
      <c r="T27" s="53">
        <f t="shared" si="19"/>
        <v>1660.4805908203125</v>
      </c>
      <c r="U27" s="51">
        <f t="shared" si="20"/>
        <v>483.8514709472656</v>
      </c>
      <c r="V27" s="7"/>
      <c r="W27" s="27">
        <f t="shared" si="2"/>
        <v>483.8514709472656</v>
      </c>
      <c r="X27" s="27">
        <f t="shared" si="3"/>
        <v>1691.3755798339844</v>
      </c>
      <c r="Y27" s="27">
        <f t="shared" si="4"/>
        <v>483.8514709472656</v>
      </c>
      <c r="Z27" s="27">
        <f t="shared" si="5"/>
        <v>1691.3755798339844</v>
      </c>
      <c r="AA27" s="32">
        <f t="shared" si="6"/>
        <v>0</v>
      </c>
      <c r="AB27" s="33">
        <f t="shared" si="7"/>
        <v>0.37002091328505377</v>
      </c>
      <c r="AC27" s="33">
        <v>0.5</v>
      </c>
      <c r="AD27" s="33">
        <f t="shared" si="8"/>
        <v>0.6539626189245643</v>
      </c>
      <c r="AE27" s="33">
        <f t="shared" si="9"/>
        <v>0.9744145986102458</v>
      </c>
      <c r="AF27" s="33">
        <f t="shared" si="10"/>
        <v>-999</v>
      </c>
      <c r="AG27" s="33">
        <f t="shared" si="11"/>
        <v>-999</v>
      </c>
      <c r="AH27" s="33">
        <f t="shared" si="12"/>
        <v>0.7570710368481574</v>
      </c>
      <c r="AI27" s="34">
        <f t="shared" si="13"/>
        <v>0.476595648024869</v>
      </c>
      <c r="AJ27" s="4">
        <v>24.221959800077364</v>
      </c>
      <c r="AK27" s="32">
        <f t="shared" si="14"/>
        <v>-999</v>
      </c>
      <c r="AL27" s="34">
        <f t="shared" si="15"/>
        <v>0.7570710368481574</v>
      </c>
      <c r="AY27" s="103" t="s">
        <v>115</v>
      </c>
      <c r="AZ27" s="103" t="s">
        <v>416</v>
      </c>
      <c r="BA27" s="103" t="s">
        <v>524</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55</v>
      </c>
      <c r="E28" s="38">
        <f>IF(LEFT(VLOOKUP($B28,'Indicator chart'!$D$1:$J$36,5,FALSE),1)=" "," ",VLOOKUP($B28,'Indicator chart'!$D$1:$J$36,5,FALSE))</f>
        <v>447.04543607250264</v>
      </c>
      <c r="F28" s="38">
        <f>IF(LEFT(VLOOKUP($B28,'Indicator chart'!$D$1:$J$36,6,FALSE),1)=" "," ",VLOOKUP($B28,'Indicator chart'!$D$1:$J$36,6,FALSE))</f>
        <v>336.75205152572363</v>
      </c>
      <c r="G28" s="38">
        <f>IF(LEFT(VLOOKUP($B28,'Indicator chart'!$D$1:$J$36,7,FALSE),1)=" "," ",VLOOKUP($B28,'Indicator chart'!$D$1:$J$36,7,FALSE))</f>
        <v>581.9047153935325</v>
      </c>
      <c r="H28" s="50">
        <f t="shared" si="0"/>
        <v>1</v>
      </c>
      <c r="I28" s="38">
        <v>155.9251708984375</v>
      </c>
      <c r="J28" s="38">
        <v>453.9417724609375</v>
      </c>
      <c r="K28" s="38">
        <v>552.737548828125</v>
      </c>
      <c r="L28" s="38">
        <v>782.2401123046875</v>
      </c>
      <c r="M28" s="38">
        <v>1250.244140625</v>
      </c>
      <c r="N28" s="80">
        <f>VLOOKUP('Hide - Control'!B$3,'All practice data'!A:CA,A28+29,FALSE)</f>
        <v>619.3838601195947</v>
      </c>
      <c r="O28" s="80">
        <f>VLOOKUP('Hide - Control'!C$3,'All practice data'!A:CA,A28+29,FALSE)</f>
        <v>582.9390489900089</v>
      </c>
      <c r="P28" s="38">
        <f>VLOOKUP('Hide - Control'!$B$4,'All practice data'!B:BC,A28+2,FALSE)</f>
        <v>2864</v>
      </c>
      <c r="Q28" s="38">
        <f>VLOOKUP('Hide - Control'!$B$4,'All practice data'!B:BC,3,FALSE)</f>
        <v>462395</v>
      </c>
      <c r="R28" s="38">
        <f>100000*(P28*(1-1/(9*P28)-1.96/(3*SQRT(P28)))^3)/Q28</f>
        <v>596.9048194062207</v>
      </c>
      <c r="S28" s="38">
        <f>100000*((P28+1)*(1-1/(9*(P28+1))+1.96/(3*SQRT(P28+1)))^3)/Q28</f>
        <v>642.4928033168318</v>
      </c>
      <c r="T28" s="53">
        <f t="shared" si="19"/>
        <v>1250.244140625</v>
      </c>
      <c r="U28" s="51">
        <f t="shared" si="20"/>
        <v>155.9251708984375</v>
      </c>
      <c r="V28" s="7"/>
      <c r="W28" s="27">
        <f t="shared" si="2"/>
        <v>-144.76904296875</v>
      </c>
      <c r="X28" s="27">
        <f t="shared" si="3"/>
        <v>1250.244140625</v>
      </c>
      <c r="Y28" s="27">
        <f t="shared" si="4"/>
        <v>-144.76904296875</v>
      </c>
      <c r="Z28" s="27">
        <f t="shared" si="5"/>
        <v>1250.244140625</v>
      </c>
      <c r="AA28" s="32">
        <f t="shared" si="6"/>
        <v>0.21554937071817268</v>
      </c>
      <c r="AB28" s="33">
        <f t="shared" si="7"/>
        <v>0.42917932423213684</v>
      </c>
      <c r="AC28" s="33">
        <v>0.5</v>
      </c>
      <c r="AD28" s="33">
        <f t="shared" si="8"/>
        <v>0.6645164118702676</v>
      </c>
      <c r="AE28" s="33">
        <f t="shared" si="9"/>
        <v>1</v>
      </c>
      <c r="AF28" s="33">
        <f t="shared" si="10"/>
        <v>-999</v>
      </c>
      <c r="AG28" s="33">
        <f t="shared" si="11"/>
        <v>-999</v>
      </c>
      <c r="AH28" s="33">
        <f t="shared" si="12"/>
        <v>0.42423576063751267</v>
      </c>
      <c r="AI28" s="34">
        <f t="shared" si="13"/>
        <v>0.5216496163026078</v>
      </c>
      <c r="AJ28" s="4">
        <v>25.297955225459287</v>
      </c>
      <c r="AK28" s="32">
        <f t="shared" si="14"/>
        <v>0.42423576063751267</v>
      </c>
      <c r="AL28" s="34">
        <f t="shared" si="15"/>
        <v>-999</v>
      </c>
      <c r="AY28" s="103" t="s">
        <v>241</v>
      </c>
      <c r="AZ28" s="103" t="s">
        <v>242</v>
      </c>
      <c r="BA28" s="103" t="s">
        <v>524</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419</v>
      </c>
      <c r="BA29" s="103" t="s">
        <v>345</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345</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440</v>
      </c>
      <c r="BA31" s="103" t="s">
        <v>345</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399</v>
      </c>
      <c r="BA32" s="103" t="s">
        <v>345</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464</v>
      </c>
      <c r="BA33" s="103" t="s">
        <v>524</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345</v>
      </c>
      <c r="BB34" s="10">
        <v>532801</v>
      </c>
      <c r="BE34" s="77"/>
      <c r="BF34" s="253"/>
    </row>
    <row r="35" spans="2:58" ht="12.75">
      <c r="B35" s="17" t="s">
        <v>41</v>
      </c>
      <c r="C35" s="18"/>
      <c r="H35" s="290" t="s">
        <v>599</v>
      </c>
      <c r="I35" s="291"/>
      <c r="Y35" s="43"/>
      <c r="Z35" s="44"/>
      <c r="AA35" s="44"/>
      <c r="AB35" s="43"/>
      <c r="AC35" s="43"/>
      <c r="AY35" s="103" t="s">
        <v>159</v>
      </c>
      <c r="AZ35" s="103" t="s">
        <v>432</v>
      </c>
      <c r="BA35" s="103" t="s">
        <v>345</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421</v>
      </c>
      <c r="BA36" s="103" t="s">
        <v>345</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438</v>
      </c>
      <c r="BA37" s="103" t="s">
        <v>345</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345</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345</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345</v>
      </c>
      <c r="BB40" s="10">
        <v>714731</v>
      </c>
      <c r="BF40" s="252"/>
    </row>
    <row r="41" spans="1:58" ht="12.75">
      <c r="A41" s="3"/>
      <c r="B41" s="71"/>
      <c r="C41" s="3"/>
      <c r="T41" s="13"/>
      <c r="U41" s="2"/>
      <c r="W41" s="2"/>
      <c r="X41" s="10"/>
      <c r="Y41" s="44"/>
      <c r="Z41" s="44"/>
      <c r="AA41" s="44"/>
      <c r="AB41" s="44"/>
      <c r="AC41" s="44"/>
      <c r="AD41" s="2"/>
      <c r="AE41" s="2"/>
      <c r="AY41" s="103" t="s">
        <v>272</v>
      </c>
      <c r="AZ41" s="103" t="s">
        <v>465</v>
      </c>
      <c r="BA41" s="103" t="s">
        <v>524</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345</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462</v>
      </c>
      <c r="BA43" s="103" t="s">
        <v>345</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450</v>
      </c>
      <c r="BA44" s="103" t="s">
        <v>345</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345</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441</v>
      </c>
      <c r="BA46" s="103" t="s">
        <v>524</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345</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445</v>
      </c>
      <c r="BA48" s="103" t="s">
        <v>524</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456</v>
      </c>
      <c r="BA49" s="103" t="s">
        <v>524</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345</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422</v>
      </c>
      <c r="BA51" s="103" t="s">
        <v>345</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345</v>
      </c>
      <c r="BB52" s="10">
        <v>611636</v>
      </c>
      <c r="BF52" s="252"/>
    </row>
    <row r="53" spans="1:58" ht="12.75">
      <c r="A53" s="3"/>
      <c r="B53" s="12"/>
      <c r="C53" s="3"/>
      <c r="I53" s="11"/>
      <c r="J53" s="11"/>
      <c r="K53" s="11"/>
      <c r="L53" s="11"/>
      <c r="S53" s="11"/>
      <c r="U53" s="2"/>
      <c r="X53" s="2"/>
      <c r="Y53" s="2"/>
      <c r="Z53" s="2"/>
      <c r="AA53" s="2"/>
      <c r="AB53" s="2"/>
      <c r="AY53" s="103" t="s">
        <v>244</v>
      </c>
      <c r="AZ53" s="103" t="s">
        <v>455</v>
      </c>
      <c r="BA53" s="103" t="s">
        <v>345</v>
      </c>
      <c r="BB53" s="10">
        <v>230998</v>
      </c>
      <c r="BF53" s="252"/>
    </row>
    <row r="54" spans="1:58" ht="12.75">
      <c r="A54" s="3"/>
      <c r="B54" s="12"/>
      <c r="C54" s="3"/>
      <c r="I54" s="11"/>
      <c r="J54" s="11"/>
      <c r="K54" s="11"/>
      <c r="L54" s="11"/>
      <c r="S54" s="11"/>
      <c r="U54" s="2"/>
      <c r="X54" s="2"/>
      <c r="Y54" s="2"/>
      <c r="Z54" s="2"/>
      <c r="AA54" s="2"/>
      <c r="AB54" s="2"/>
      <c r="AY54" s="103" t="s">
        <v>67</v>
      </c>
      <c r="AZ54" s="103" t="s">
        <v>396</v>
      </c>
      <c r="BA54" s="103" t="s">
        <v>345</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442</v>
      </c>
      <c r="BA55" s="103" t="s">
        <v>345</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412</v>
      </c>
      <c r="BA56" s="103" t="s">
        <v>345</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457</v>
      </c>
      <c r="BA57" s="103" t="s">
        <v>345</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402</v>
      </c>
      <c r="BA58" s="103" t="s">
        <v>345</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345</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345</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446</v>
      </c>
      <c r="BA61" s="103" t="s">
        <v>524</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524</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435</v>
      </c>
      <c r="BA63" s="103" t="s">
        <v>345</v>
      </c>
      <c r="BB63" s="10">
        <v>318405</v>
      </c>
      <c r="BE63" s="70"/>
      <c r="BF63" s="239"/>
    </row>
    <row r="64" spans="1:58" ht="12.75">
      <c r="A64" s="3"/>
      <c r="B64" s="12"/>
      <c r="C64" s="3"/>
      <c r="I64" s="11"/>
      <c r="V64" s="3"/>
      <c r="AY64" s="103" t="s">
        <v>78</v>
      </c>
      <c r="AZ64" s="103" t="s">
        <v>403</v>
      </c>
      <c r="BA64" s="103" t="s">
        <v>524</v>
      </c>
      <c r="BB64" s="10">
        <v>181285</v>
      </c>
      <c r="BE64" s="70"/>
      <c r="BF64" s="241"/>
    </row>
    <row r="65" spans="1:58" ht="12.75">
      <c r="A65" s="3"/>
      <c r="B65" s="12"/>
      <c r="C65" s="3"/>
      <c r="AY65" s="103" t="s">
        <v>513</v>
      </c>
      <c r="AZ65" s="103" t="s">
        <v>514</v>
      </c>
      <c r="BA65" s="103" t="s">
        <v>345</v>
      </c>
      <c r="BB65" s="10">
        <v>1169302</v>
      </c>
      <c r="BE65" s="70"/>
      <c r="BF65" s="241"/>
    </row>
    <row r="66" spans="1:58" ht="12.75">
      <c r="A66" s="3"/>
      <c r="B66" s="12"/>
      <c r="C66" s="3"/>
      <c r="E66" s="2"/>
      <c r="F66" s="2"/>
      <c r="G66" s="2"/>
      <c r="V66" s="2"/>
      <c r="AY66" s="103" t="s">
        <v>200</v>
      </c>
      <c r="AZ66" s="103" t="s">
        <v>443</v>
      </c>
      <c r="BA66" s="103" t="s">
        <v>345</v>
      </c>
      <c r="BB66" s="10">
        <v>217916</v>
      </c>
      <c r="BE66" s="70"/>
      <c r="BF66" s="239"/>
    </row>
    <row r="67" spans="1:58" ht="12.75">
      <c r="A67" s="3"/>
      <c r="B67" s="12"/>
      <c r="C67" s="3"/>
      <c r="AY67" s="103" t="s">
        <v>69</v>
      </c>
      <c r="AZ67" s="103" t="s">
        <v>70</v>
      </c>
      <c r="BA67" s="103" t="s">
        <v>345</v>
      </c>
      <c r="BB67" s="10">
        <v>270842</v>
      </c>
      <c r="BE67" s="70"/>
      <c r="BF67" s="239"/>
    </row>
    <row r="68" spans="1:58" ht="12.75">
      <c r="A68" s="3"/>
      <c r="B68" s="12"/>
      <c r="C68" s="3"/>
      <c r="AY68" s="103" t="s">
        <v>109</v>
      </c>
      <c r="AZ68" s="103" t="s">
        <v>110</v>
      </c>
      <c r="BA68" s="103" t="s">
        <v>345</v>
      </c>
      <c r="BB68" s="10">
        <v>251613</v>
      </c>
      <c r="BF68" s="252"/>
    </row>
    <row r="69" spans="1:58" ht="12.75">
      <c r="A69" s="3"/>
      <c r="B69" s="12"/>
      <c r="C69" s="3"/>
      <c r="AY69" s="103" t="s">
        <v>209</v>
      </c>
      <c r="AZ69" s="103" t="s">
        <v>210</v>
      </c>
      <c r="BA69" s="103" t="s">
        <v>345</v>
      </c>
      <c r="BB69" s="10">
        <v>283547</v>
      </c>
      <c r="BE69" s="70"/>
      <c r="BF69" s="241"/>
    </row>
    <row r="70" spans="1:58" ht="12.75">
      <c r="A70" s="3"/>
      <c r="B70" s="12"/>
      <c r="C70" s="3"/>
      <c r="AY70" s="103" t="s">
        <v>275</v>
      </c>
      <c r="AZ70" s="103" t="s">
        <v>466</v>
      </c>
      <c r="BA70" s="103" t="s">
        <v>523</v>
      </c>
      <c r="BB70" s="10">
        <v>141474</v>
      </c>
      <c r="BE70" s="70"/>
      <c r="BF70" s="239"/>
    </row>
    <row r="71" spans="1:58" ht="12.75">
      <c r="A71" s="3"/>
      <c r="B71" s="12"/>
      <c r="C71" s="3"/>
      <c r="AY71" s="103" t="s">
        <v>127</v>
      </c>
      <c r="AZ71" s="103" t="s">
        <v>420</v>
      </c>
      <c r="BA71" s="103" t="s">
        <v>345</v>
      </c>
      <c r="BB71" s="10">
        <v>213326</v>
      </c>
      <c r="BE71" s="70"/>
      <c r="BF71" s="239"/>
    </row>
    <row r="72" spans="1:58" ht="12.75">
      <c r="A72" s="3"/>
      <c r="B72" s="12"/>
      <c r="C72" s="3"/>
      <c r="AY72" s="103" t="s">
        <v>136</v>
      </c>
      <c r="AZ72" s="103" t="s">
        <v>137</v>
      </c>
      <c r="BA72" s="103" t="s">
        <v>345</v>
      </c>
      <c r="BB72" s="10">
        <v>183220</v>
      </c>
      <c r="BE72" s="250"/>
      <c r="BF72" s="239"/>
    </row>
    <row r="73" spans="1:58" ht="12.75">
      <c r="A73" s="3"/>
      <c r="B73" s="12"/>
      <c r="C73" s="3"/>
      <c r="AY73" s="103" t="s">
        <v>64</v>
      </c>
      <c r="AZ73" s="103" t="s">
        <v>395</v>
      </c>
      <c r="BA73" s="103" t="s">
        <v>345</v>
      </c>
      <c r="BB73" s="10">
        <v>190143</v>
      </c>
      <c r="BE73" s="70"/>
      <c r="BF73" s="239"/>
    </row>
    <row r="74" spans="1:58" ht="12.75">
      <c r="A74" s="3"/>
      <c r="B74" s="12"/>
      <c r="C74" s="3"/>
      <c r="AY74" s="103" t="s">
        <v>165</v>
      </c>
      <c r="AZ74" s="103" t="s">
        <v>166</v>
      </c>
      <c r="BA74" s="103" t="s">
        <v>524</v>
      </c>
      <c r="BB74" s="10">
        <v>419928</v>
      </c>
      <c r="BE74" s="70"/>
      <c r="BF74" s="241"/>
    </row>
    <row r="75" spans="1:58" ht="12.75">
      <c r="A75" s="3"/>
      <c r="B75" s="12"/>
      <c r="C75" s="3"/>
      <c r="AY75" s="103" t="s">
        <v>113</v>
      </c>
      <c r="AZ75" s="103" t="s">
        <v>414</v>
      </c>
      <c r="BA75" s="103" t="s">
        <v>345</v>
      </c>
      <c r="BB75" s="10">
        <v>158106</v>
      </c>
      <c r="BE75" s="70"/>
      <c r="BF75" s="241"/>
    </row>
    <row r="76" spans="1:58" ht="12.75">
      <c r="A76" s="3"/>
      <c r="B76" s="12"/>
      <c r="C76" s="3"/>
      <c r="AY76" s="103" t="s">
        <v>140</v>
      </c>
      <c r="AZ76" s="103" t="s">
        <v>141</v>
      </c>
      <c r="BA76" s="103" t="s">
        <v>345</v>
      </c>
      <c r="BB76" s="10">
        <v>377807</v>
      </c>
      <c r="BE76" s="70"/>
      <c r="BF76" s="241"/>
    </row>
    <row r="77" spans="1:58" ht="12.75">
      <c r="A77" s="3"/>
      <c r="B77" s="12"/>
      <c r="C77" s="3"/>
      <c r="AY77" s="103" t="s">
        <v>163</v>
      </c>
      <c r="AZ77" s="103" t="s">
        <v>164</v>
      </c>
      <c r="BA77" s="103" t="s">
        <v>524</v>
      </c>
      <c r="BB77" s="10">
        <v>799634</v>
      </c>
      <c r="BE77" s="70"/>
      <c r="BF77" s="249"/>
    </row>
    <row r="78" spans="1:58" ht="12.75">
      <c r="A78" s="3"/>
      <c r="B78" s="12"/>
      <c r="C78" s="3"/>
      <c r="AY78" s="103" t="s">
        <v>224</v>
      </c>
      <c r="AZ78" s="103" t="s">
        <v>225</v>
      </c>
      <c r="BA78" s="103" t="s">
        <v>345</v>
      </c>
      <c r="BB78" s="10">
        <v>362638</v>
      </c>
      <c r="BE78" s="70"/>
      <c r="BF78" s="239"/>
    </row>
    <row r="79" spans="1:58" ht="12.75">
      <c r="A79" s="3"/>
      <c r="B79" s="12"/>
      <c r="C79" s="3"/>
      <c r="AY79" s="103" t="s">
        <v>223</v>
      </c>
      <c r="AZ79" s="103" t="s">
        <v>448</v>
      </c>
      <c r="BA79" s="103" t="s">
        <v>345</v>
      </c>
      <c r="BB79" s="10">
        <v>678998</v>
      </c>
      <c r="BF79" s="239"/>
    </row>
    <row r="80" spans="1:58" ht="12.75">
      <c r="A80" s="3"/>
      <c r="B80" s="12"/>
      <c r="C80" s="3"/>
      <c r="AY80" s="103" t="s">
        <v>144</v>
      </c>
      <c r="AZ80" s="103" t="s">
        <v>145</v>
      </c>
      <c r="BA80" s="103" t="s">
        <v>345</v>
      </c>
      <c r="BB80" s="10">
        <v>290986</v>
      </c>
      <c r="BF80" s="252"/>
    </row>
    <row r="81" spans="1:58" ht="12.75">
      <c r="A81" s="3"/>
      <c r="B81" s="12"/>
      <c r="C81" s="3"/>
      <c r="AY81" s="103" t="s">
        <v>178</v>
      </c>
      <c r="AZ81" s="103" t="s">
        <v>437</v>
      </c>
      <c r="BA81" s="103" t="s">
        <v>524</v>
      </c>
      <c r="BB81" s="10">
        <v>747976</v>
      </c>
      <c r="BF81" s="252"/>
    </row>
    <row r="82" spans="1:58" ht="12.75">
      <c r="A82" s="3"/>
      <c r="B82" s="12"/>
      <c r="C82" s="3"/>
      <c r="AY82" s="103" t="s">
        <v>193</v>
      </c>
      <c r="AZ82" s="103" t="s">
        <v>194</v>
      </c>
      <c r="BA82" s="103" t="s">
        <v>345</v>
      </c>
      <c r="BB82" s="10">
        <v>489140</v>
      </c>
      <c r="BF82" s="252"/>
    </row>
    <row r="83" spans="1:58" ht="12.75">
      <c r="A83" s="3"/>
      <c r="B83" s="12"/>
      <c r="C83" s="3"/>
      <c r="AY83" s="103" t="s">
        <v>98</v>
      </c>
      <c r="AZ83" s="103" t="s">
        <v>411</v>
      </c>
      <c r="BA83" s="103" t="s">
        <v>524</v>
      </c>
      <c r="BB83" s="10">
        <v>208442</v>
      </c>
      <c r="BE83" s="70"/>
      <c r="BF83" s="241"/>
    </row>
    <row r="84" spans="1:58" ht="12.75">
      <c r="A84" s="3"/>
      <c r="B84" s="12"/>
      <c r="C84" s="3"/>
      <c r="AY84" s="103" t="s">
        <v>203</v>
      </c>
      <c r="AZ84" s="103" t="s">
        <v>204</v>
      </c>
      <c r="BA84" s="103" t="s">
        <v>524</v>
      </c>
      <c r="BB84" s="10">
        <v>545543</v>
      </c>
      <c r="BE84" s="70"/>
      <c r="BF84" s="241"/>
    </row>
    <row r="85" spans="1:58" ht="12.75">
      <c r="A85" s="3"/>
      <c r="B85" s="12"/>
      <c r="C85" s="3"/>
      <c r="AY85" s="103" t="s">
        <v>135</v>
      </c>
      <c r="AZ85" s="103" t="s">
        <v>426</v>
      </c>
      <c r="BA85" s="103" t="s">
        <v>524</v>
      </c>
      <c r="BB85" s="10">
        <v>274067</v>
      </c>
      <c r="BE85" s="70"/>
      <c r="BF85" s="241"/>
    </row>
    <row r="86" spans="1:58" ht="12.75">
      <c r="A86" s="3"/>
      <c r="B86" s="12"/>
      <c r="C86" s="3"/>
      <c r="AY86" s="103" t="s">
        <v>251</v>
      </c>
      <c r="AZ86" s="103" t="s">
        <v>252</v>
      </c>
      <c r="BA86" s="103" t="s">
        <v>524</v>
      </c>
      <c r="BB86" s="10">
        <v>374861</v>
      </c>
      <c r="BE86" s="70"/>
      <c r="BF86" s="249"/>
    </row>
    <row r="87" spans="1:58" ht="12.75">
      <c r="A87" s="3"/>
      <c r="B87" s="12"/>
      <c r="C87" s="3"/>
      <c r="AY87" s="103" t="s">
        <v>132</v>
      </c>
      <c r="AZ87" s="103" t="s">
        <v>133</v>
      </c>
      <c r="BA87" s="103" t="s">
        <v>345</v>
      </c>
      <c r="BB87" s="10">
        <v>153833</v>
      </c>
      <c r="BE87" s="70"/>
      <c r="BF87" s="249"/>
    </row>
    <row r="88" spans="1:58" ht="12.75">
      <c r="A88" s="3"/>
      <c r="B88" s="12"/>
      <c r="C88" s="3"/>
      <c r="AY88" s="103" t="s">
        <v>79</v>
      </c>
      <c r="AZ88" s="103" t="s">
        <v>80</v>
      </c>
      <c r="BA88" s="103" t="s">
        <v>524</v>
      </c>
      <c r="BB88" s="10">
        <v>258492</v>
      </c>
      <c r="BE88" s="70"/>
      <c r="BF88" s="241"/>
    </row>
    <row r="89" spans="1:58" ht="12.75">
      <c r="A89" s="3"/>
      <c r="B89" s="12"/>
      <c r="C89" s="3"/>
      <c r="AY89" s="103" t="s">
        <v>81</v>
      </c>
      <c r="AZ89" s="103" t="s">
        <v>404</v>
      </c>
      <c r="BA89" s="103" t="s">
        <v>345</v>
      </c>
      <c r="BB89" s="10">
        <v>283085</v>
      </c>
      <c r="BE89" s="70"/>
      <c r="BF89" s="241"/>
    </row>
    <row r="90" spans="1:58" ht="12.75">
      <c r="A90" s="3"/>
      <c r="B90" s="12"/>
      <c r="C90" s="3"/>
      <c r="AY90" s="103" t="s">
        <v>76</v>
      </c>
      <c r="AZ90" s="103" t="s">
        <v>401</v>
      </c>
      <c r="BA90" s="103" t="s">
        <v>345</v>
      </c>
      <c r="BB90" s="10">
        <v>357346</v>
      </c>
      <c r="BE90" s="70"/>
      <c r="BF90" s="241"/>
    </row>
    <row r="91" spans="1:58" ht="12.75">
      <c r="A91" s="3"/>
      <c r="B91" s="12"/>
      <c r="C91" s="3"/>
      <c r="AY91" s="103" t="s">
        <v>243</v>
      </c>
      <c r="AZ91" s="103" t="s">
        <v>454</v>
      </c>
      <c r="BA91" s="103" t="s">
        <v>524</v>
      </c>
      <c r="BB91" s="10">
        <v>748575</v>
      </c>
      <c r="BE91" s="247"/>
      <c r="BF91" s="249"/>
    </row>
    <row r="92" spans="1:58" ht="12.75">
      <c r="A92" s="3"/>
      <c r="B92" s="12"/>
      <c r="C92" s="3"/>
      <c r="AY92" s="103" t="s">
        <v>249</v>
      </c>
      <c r="AZ92" s="103" t="s">
        <v>250</v>
      </c>
      <c r="BA92" s="103" t="s">
        <v>524</v>
      </c>
      <c r="BB92" s="10">
        <v>322673</v>
      </c>
      <c r="BE92" s="247"/>
      <c r="BF92" s="249"/>
    </row>
    <row r="93" spans="1:58" ht="12.75">
      <c r="A93" s="3"/>
      <c r="B93" s="12"/>
      <c r="C93" s="3"/>
      <c r="AY93" s="103" t="s">
        <v>58</v>
      </c>
      <c r="AZ93" s="103" t="s">
        <v>59</v>
      </c>
      <c r="BA93" s="103" t="s">
        <v>345</v>
      </c>
      <c r="BB93" s="10">
        <v>165284</v>
      </c>
      <c r="BF93" s="252"/>
    </row>
    <row r="94" spans="1:58" ht="12.75">
      <c r="A94" s="3"/>
      <c r="B94" s="12"/>
      <c r="C94" s="3"/>
      <c r="AY94" s="103" t="s">
        <v>186</v>
      </c>
      <c r="AZ94" s="103" t="s">
        <v>439</v>
      </c>
      <c r="BA94" s="103" t="s">
        <v>345</v>
      </c>
      <c r="BB94" s="10">
        <v>339272</v>
      </c>
      <c r="BE94" s="70"/>
      <c r="BF94" s="241"/>
    </row>
    <row r="95" spans="1:58" ht="12.75">
      <c r="A95" s="3"/>
      <c r="B95" s="12"/>
      <c r="C95" s="3"/>
      <c r="AY95" s="103" t="s">
        <v>86</v>
      </c>
      <c r="AZ95" s="103" t="s">
        <v>87</v>
      </c>
      <c r="BA95" s="103" t="s">
        <v>345</v>
      </c>
      <c r="BB95" s="10">
        <v>165642</v>
      </c>
      <c r="BE95" s="247"/>
      <c r="BF95" s="249"/>
    </row>
    <row r="96" spans="1:58" ht="12.75">
      <c r="A96" s="3"/>
      <c r="B96" s="12"/>
      <c r="C96" s="3"/>
      <c r="AY96" s="103" t="s">
        <v>157</v>
      </c>
      <c r="AZ96" s="103" t="s">
        <v>158</v>
      </c>
      <c r="BA96" s="103" t="s">
        <v>345</v>
      </c>
      <c r="BB96" s="10">
        <v>208351</v>
      </c>
      <c r="BE96" s="243"/>
      <c r="BF96" s="238"/>
    </row>
    <row r="97" spans="1:58" ht="12.75">
      <c r="A97" s="3"/>
      <c r="B97" s="12"/>
      <c r="C97" s="3"/>
      <c r="AY97" s="103" t="s">
        <v>231</v>
      </c>
      <c r="AZ97" s="103" t="s">
        <v>232</v>
      </c>
      <c r="BA97" s="103" t="s">
        <v>345</v>
      </c>
      <c r="BB97" s="10">
        <v>203178</v>
      </c>
      <c r="BE97" s="243"/>
      <c r="BF97" s="238"/>
    </row>
    <row r="98" spans="1:58" ht="12.75">
      <c r="A98" s="3"/>
      <c r="B98" s="12"/>
      <c r="C98" s="3"/>
      <c r="AY98" s="103" t="s">
        <v>82</v>
      </c>
      <c r="AZ98" s="103" t="s">
        <v>405</v>
      </c>
      <c r="BA98" s="103" t="s">
        <v>345</v>
      </c>
      <c r="BB98" s="10">
        <v>214052</v>
      </c>
      <c r="BE98" s="248"/>
      <c r="BF98" s="241"/>
    </row>
    <row r="99" spans="1:58" ht="12.75">
      <c r="A99" s="3"/>
      <c r="B99" s="12"/>
      <c r="C99" s="3"/>
      <c r="AY99" s="103" t="s">
        <v>205</v>
      </c>
      <c r="AZ99" s="103" t="s">
        <v>206</v>
      </c>
      <c r="BA99" s="103" t="s">
        <v>524</v>
      </c>
      <c r="BB99" s="10">
        <v>795503</v>
      </c>
      <c r="BE99" s="70"/>
      <c r="BF99" s="249"/>
    </row>
    <row r="100" spans="1:58" ht="12.75">
      <c r="A100" s="3"/>
      <c r="B100" s="12"/>
      <c r="C100" s="3"/>
      <c r="AY100" s="103" t="s">
        <v>226</v>
      </c>
      <c r="AZ100" s="103" t="s">
        <v>449</v>
      </c>
      <c r="BA100" s="103" t="s">
        <v>345</v>
      </c>
      <c r="BB100" s="10">
        <v>648340</v>
      </c>
      <c r="BE100" s="70"/>
      <c r="BF100" s="249"/>
    </row>
    <row r="101" spans="51:58" ht="12.75">
      <c r="AY101" s="103" t="s">
        <v>51</v>
      </c>
      <c r="AZ101" s="103" t="s">
        <v>52</v>
      </c>
      <c r="BA101" s="103" t="s">
        <v>345</v>
      </c>
      <c r="BB101" s="10">
        <v>320818</v>
      </c>
      <c r="BE101" s="237"/>
      <c r="BF101" s="238"/>
    </row>
    <row r="102" spans="51:58" ht="12.75">
      <c r="AY102" s="103" t="s">
        <v>88</v>
      </c>
      <c r="AZ102" s="103" t="s">
        <v>89</v>
      </c>
      <c r="BA102" s="103" t="s">
        <v>345</v>
      </c>
      <c r="BB102" s="10">
        <v>339920</v>
      </c>
      <c r="BE102" s="237"/>
      <c r="BF102" s="238"/>
    </row>
    <row r="103" spans="51:58" ht="12.75">
      <c r="AY103" s="103" t="s">
        <v>177</v>
      </c>
      <c r="AZ103" s="103" t="s">
        <v>436</v>
      </c>
      <c r="BA103" s="103" t="s">
        <v>345</v>
      </c>
      <c r="BB103" s="10">
        <v>656875</v>
      </c>
      <c r="BE103" s="70"/>
      <c r="BF103" s="239"/>
    </row>
    <row r="104" spans="51:58" ht="12.75">
      <c r="AY104" s="103" t="s">
        <v>114</v>
      </c>
      <c r="AZ104" s="103" t="s">
        <v>415</v>
      </c>
      <c r="BA104" s="103" t="s">
        <v>345</v>
      </c>
      <c r="BB104" s="10">
        <v>236592</v>
      </c>
      <c r="BF104" s="252"/>
    </row>
    <row r="105" spans="51:58" ht="12.75">
      <c r="AY105" s="103" t="s">
        <v>259</v>
      </c>
      <c r="AZ105" s="103" t="s">
        <v>458</v>
      </c>
      <c r="BA105" s="103" t="s">
        <v>524</v>
      </c>
      <c r="BB105" s="10">
        <v>671572</v>
      </c>
      <c r="BE105" s="237"/>
      <c r="BF105" s="238"/>
    </row>
    <row r="106" spans="51:58" ht="12.75">
      <c r="AY106" s="103" t="s">
        <v>239</v>
      </c>
      <c r="AZ106" s="103" t="s">
        <v>240</v>
      </c>
      <c r="BA106" s="103" t="s">
        <v>524</v>
      </c>
      <c r="BB106" s="10">
        <v>177882</v>
      </c>
      <c r="BF106" s="252"/>
    </row>
    <row r="107" spans="51:58" ht="12.75">
      <c r="AY107" s="103" t="s">
        <v>91</v>
      </c>
      <c r="AZ107" s="103" t="s">
        <v>408</v>
      </c>
      <c r="BA107" s="103" t="s">
        <v>345</v>
      </c>
      <c r="BB107" s="10">
        <v>274443</v>
      </c>
      <c r="BF107" s="252"/>
    </row>
    <row r="108" spans="51:58" ht="12.75">
      <c r="AY108" s="103" t="s">
        <v>95</v>
      </c>
      <c r="AZ108" s="103" t="s">
        <v>410</v>
      </c>
      <c r="BA108" s="103" t="s">
        <v>345</v>
      </c>
      <c r="BB108" s="10">
        <v>213174</v>
      </c>
      <c r="BE108" s="70"/>
      <c r="BF108" s="239"/>
    </row>
    <row r="109" spans="51:58" ht="12.75">
      <c r="AY109" s="103" t="s">
        <v>179</v>
      </c>
      <c r="AZ109" s="103" t="s">
        <v>180</v>
      </c>
      <c r="BA109" s="103" t="s">
        <v>345</v>
      </c>
      <c r="BB109" s="10">
        <v>278950</v>
      </c>
      <c r="BE109" s="237"/>
      <c r="BF109" s="238"/>
    </row>
    <row r="110" spans="51:58" ht="12.75">
      <c r="AY110" s="103" t="s">
        <v>273</v>
      </c>
      <c r="AZ110" s="103" t="s">
        <v>274</v>
      </c>
      <c r="BA110" s="103" t="s">
        <v>345</v>
      </c>
      <c r="BB110" s="10">
        <v>133304</v>
      </c>
      <c r="BE110" s="70"/>
      <c r="BF110" s="249"/>
    </row>
    <row r="111" spans="51:58" ht="12.75">
      <c r="AY111" s="103" t="s">
        <v>155</v>
      </c>
      <c r="AZ111" s="103" t="s">
        <v>430</v>
      </c>
      <c r="BA111" s="103" t="s">
        <v>345</v>
      </c>
      <c r="BB111" s="10">
        <v>197060</v>
      </c>
      <c r="BE111" s="70"/>
      <c r="BF111" s="239"/>
    </row>
    <row r="112" spans="51:58" ht="12.75">
      <c r="AY112" s="103" t="s">
        <v>100</v>
      </c>
      <c r="AZ112" s="103" t="s">
        <v>101</v>
      </c>
      <c r="BA112" s="103" t="s">
        <v>345</v>
      </c>
      <c r="BB112" s="10">
        <v>253140</v>
      </c>
      <c r="BE112" s="250"/>
      <c r="BF112" s="249"/>
    </row>
    <row r="113" spans="51:58" ht="12.75">
      <c r="AY113" s="103" t="s">
        <v>92</v>
      </c>
      <c r="AZ113" s="103" t="s">
        <v>93</v>
      </c>
      <c r="BA113" s="103" t="s">
        <v>345</v>
      </c>
      <c r="BB113" s="10">
        <v>240983</v>
      </c>
      <c r="BE113" s="70"/>
      <c r="BF113" s="241"/>
    </row>
    <row r="114" spans="51:58" ht="12.75">
      <c r="AY114" s="103" t="s">
        <v>228</v>
      </c>
      <c r="AZ114" s="103" t="s">
        <v>451</v>
      </c>
      <c r="BA114" s="103" t="s">
        <v>345</v>
      </c>
      <c r="BB114" s="10">
        <v>340451</v>
      </c>
      <c r="BF114" s="241"/>
    </row>
    <row r="115" spans="51:58" ht="12.75">
      <c r="AY115" s="103" t="s">
        <v>189</v>
      </c>
      <c r="AZ115" s="103" t="s">
        <v>190</v>
      </c>
      <c r="BA115" s="103" t="s">
        <v>345</v>
      </c>
      <c r="BB115" s="10">
        <v>280673</v>
      </c>
      <c r="BE115" s="248"/>
      <c r="BF115" s="241"/>
    </row>
    <row r="116" spans="51:58" ht="12.75">
      <c r="AY116" s="103" t="s">
        <v>169</v>
      </c>
      <c r="AZ116" s="103" t="s">
        <v>170</v>
      </c>
      <c r="BA116" s="103" t="s">
        <v>345</v>
      </c>
      <c r="BB116" s="10">
        <v>565874</v>
      </c>
      <c r="BE116" s="70"/>
      <c r="BF116" s="239"/>
    </row>
    <row r="117" spans="51:58" ht="12.75">
      <c r="AY117" s="103" t="s">
        <v>152</v>
      </c>
      <c r="AZ117" s="103" t="s">
        <v>429</v>
      </c>
      <c r="BA117" s="103" t="s">
        <v>524</v>
      </c>
      <c r="BB117" s="10">
        <v>295379</v>
      </c>
      <c r="BE117" s="237"/>
      <c r="BF117" s="238"/>
    </row>
    <row r="118" spans="51:58" ht="12.75">
      <c r="AY118" s="103" t="s">
        <v>56</v>
      </c>
      <c r="AZ118" s="103" t="s">
        <v>57</v>
      </c>
      <c r="BA118" s="103" t="s">
        <v>345</v>
      </c>
      <c r="BB118" s="10">
        <v>217094</v>
      </c>
      <c r="BE118" s="70"/>
      <c r="BF118" s="239"/>
    </row>
    <row r="119" spans="51:58" ht="12.75">
      <c r="AY119" s="103" t="s">
        <v>268</v>
      </c>
      <c r="AZ119" s="103" t="s">
        <v>461</v>
      </c>
      <c r="BA119" s="103" t="s">
        <v>345</v>
      </c>
      <c r="BB119" s="10">
        <v>538131</v>
      </c>
      <c r="BE119" s="70"/>
      <c r="BF119" s="239"/>
    </row>
    <row r="120" spans="51:58" ht="12.75">
      <c r="AY120" s="103" t="s">
        <v>150</v>
      </c>
      <c r="AZ120" s="103" t="s">
        <v>151</v>
      </c>
      <c r="BA120" s="103" t="s">
        <v>524</v>
      </c>
      <c r="BB120" s="10">
        <v>389725</v>
      </c>
      <c r="BE120" s="70"/>
      <c r="BF120" s="239"/>
    </row>
    <row r="121" spans="51:58" ht="12.75">
      <c r="AY121" s="103" t="s">
        <v>212</v>
      </c>
      <c r="AZ121" s="103" t="s">
        <v>213</v>
      </c>
      <c r="BA121" s="103" t="s">
        <v>524</v>
      </c>
      <c r="BB121" s="10">
        <v>356812</v>
      </c>
      <c r="BE121" s="237"/>
      <c r="BF121" s="238"/>
    </row>
    <row r="122" spans="51:58" ht="12.75">
      <c r="AY122" s="103" t="s">
        <v>60</v>
      </c>
      <c r="AZ122" s="103" t="s">
        <v>61</v>
      </c>
      <c r="BA122" s="103" t="s">
        <v>345</v>
      </c>
      <c r="BB122" s="10">
        <v>256321</v>
      </c>
      <c r="BE122" s="70"/>
      <c r="BF122" s="249"/>
    </row>
    <row r="123" spans="51:58" ht="12.75">
      <c r="AY123" s="103" t="s">
        <v>234</v>
      </c>
      <c r="AZ123" s="103" t="s">
        <v>453</v>
      </c>
      <c r="BA123" s="103" t="s">
        <v>524</v>
      </c>
      <c r="BB123" s="10">
        <v>615835</v>
      </c>
      <c r="BF123" s="252"/>
    </row>
    <row r="124" spans="51:58" ht="12.75">
      <c r="AY124" s="103" t="s">
        <v>130</v>
      </c>
      <c r="AZ124" s="103" t="s">
        <v>423</v>
      </c>
      <c r="BA124" s="103" t="s">
        <v>345</v>
      </c>
      <c r="BB124" s="10">
        <v>150179</v>
      </c>
      <c r="BF124" s="252"/>
    </row>
    <row r="125" spans="51:58" ht="12.75">
      <c r="AY125" s="103" t="s">
        <v>253</v>
      </c>
      <c r="AZ125" s="103" t="s">
        <v>254</v>
      </c>
      <c r="BA125" s="103" t="s">
        <v>345</v>
      </c>
      <c r="BB125" s="10">
        <v>420503</v>
      </c>
      <c r="BE125" s="70"/>
      <c r="BF125" s="249"/>
    </row>
    <row r="126" spans="51:58" ht="12.75">
      <c r="AY126" s="103" t="s">
        <v>134</v>
      </c>
      <c r="AZ126" s="103" t="s">
        <v>425</v>
      </c>
      <c r="BA126" s="103" t="s">
        <v>345</v>
      </c>
      <c r="BB126" s="10">
        <v>263936</v>
      </c>
      <c r="BE126" s="70"/>
      <c r="BF126" s="239"/>
    </row>
    <row r="127" spans="51:58" ht="12.75">
      <c r="AY127" s="103" t="s">
        <v>142</v>
      </c>
      <c r="AZ127" s="103" t="s">
        <v>143</v>
      </c>
      <c r="BA127" s="103" t="s">
        <v>345</v>
      </c>
      <c r="BB127" s="10">
        <v>308593</v>
      </c>
      <c r="BF127" s="252"/>
    </row>
    <row r="128" spans="51:58" ht="12.75">
      <c r="AY128" s="103" t="s">
        <v>94</v>
      </c>
      <c r="AZ128" s="103" t="s">
        <v>409</v>
      </c>
      <c r="BA128" s="103" t="s">
        <v>524</v>
      </c>
      <c r="BB128" s="10">
        <v>298190</v>
      </c>
      <c r="BE128" s="250"/>
      <c r="BF128" s="249"/>
    </row>
    <row r="129" spans="51:58" ht="12.75">
      <c r="AY129" s="103" t="s">
        <v>85</v>
      </c>
      <c r="AZ129" s="103" t="s">
        <v>406</v>
      </c>
      <c r="BA129" s="103" t="s">
        <v>345</v>
      </c>
      <c r="BB129" s="10">
        <v>191885</v>
      </c>
      <c r="BE129" s="70"/>
      <c r="BF129" s="249"/>
    </row>
    <row r="130" spans="51:58" ht="12.75">
      <c r="AY130" s="103" t="s">
        <v>233</v>
      </c>
      <c r="AZ130" s="103" t="s">
        <v>452</v>
      </c>
      <c r="BA130" s="103" t="s">
        <v>345</v>
      </c>
      <c r="BB130" s="10">
        <v>268223</v>
      </c>
      <c r="BE130" s="70"/>
      <c r="BF130" s="249"/>
    </row>
    <row r="131" spans="51:58" ht="12.75">
      <c r="AY131" s="103" t="s">
        <v>245</v>
      </c>
      <c r="AZ131" s="103" t="s">
        <v>246</v>
      </c>
      <c r="BA131" s="103" t="s">
        <v>524</v>
      </c>
      <c r="BB131" s="10">
        <v>616983</v>
      </c>
      <c r="BE131" s="247"/>
      <c r="BF131" s="249"/>
    </row>
    <row r="132" spans="51:58" ht="12.75">
      <c r="AY132" s="103" t="s">
        <v>131</v>
      </c>
      <c r="AZ132" s="103" t="s">
        <v>424</v>
      </c>
      <c r="BA132" s="103" t="s">
        <v>345</v>
      </c>
      <c r="BB132" s="10">
        <v>283991</v>
      </c>
      <c r="BE132" s="247"/>
      <c r="BF132" s="249"/>
    </row>
    <row r="133" spans="51:58" ht="12.75">
      <c r="AY133" s="103" t="s">
        <v>216</v>
      </c>
      <c r="AZ133" s="103" t="s">
        <v>217</v>
      </c>
      <c r="BA133" s="103" t="s">
        <v>345</v>
      </c>
      <c r="BB133" s="10">
        <v>1156805</v>
      </c>
      <c r="BE133" s="247"/>
      <c r="BF133" s="251"/>
    </row>
    <row r="134" spans="51:58" ht="12.75">
      <c r="AY134" s="103" t="s">
        <v>156</v>
      </c>
      <c r="AZ134" s="103" t="s">
        <v>431</v>
      </c>
      <c r="BA134" s="103" t="s">
        <v>345</v>
      </c>
      <c r="BB134" s="10">
        <v>390971</v>
      </c>
      <c r="BE134" s="243"/>
      <c r="BF134" s="238"/>
    </row>
    <row r="135" spans="51:58" ht="12.75">
      <c r="AY135" s="103" t="s">
        <v>121</v>
      </c>
      <c r="AZ135" s="103" t="s">
        <v>122</v>
      </c>
      <c r="BA135" s="103" t="s">
        <v>523</v>
      </c>
      <c r="BB135" s="10">
        <v>218182</v>
      </c>
      <c r="BE135" s="250"/>
      <c r="BF135" s="249"/>
    </row>
    <row r="136" spans="51:58" ht="12.75">
      <c r="AY136" s="103" t="s">
        <v>148</v>
      </c>
      <c r="AZ136" s="103" t="s">
        <v>427</v>
      </c>
      <c r="BA136" s="103" t="s">
        <v>524</v>
      </c>
      <c r="BB136" s="10">
        <v>236598</v>
      </c>
      <c r="BE136" s="237"/>
      <c r="BF136" s="238"/>
    </row>
    <row r="137" spans="51:58" ht="12.75">
      <c r="AY137" s="103" t="s">
        <v>160</v>
      </c>
      <c r="AZ137" s="103" t="s">
        <v>433</v>
      </c>
      <c r="BA137" s="103" t="s">
        <v>524</v>
      </c>
      <c r="BB137" s="10">
        <v>165993</v>
      </c>
      <c r="BF137" s="252"/>
    </row>
    <row r="138" spans="51:58" ht="12.75">
      <c r="AY138" s="103" t="s">
        <v>54</v>
      </c>
      <c r="AZ138" s="103" t="s">
        <v>55</v>
      </c>
      <c r="BA138" s="103" t="s">
        <v>345</v>
      </c>
      <c r="BB138" s="10">
        <v>145889</v>
      </c>
      <c r="BE138" s="70"/>
      <c r="BF138" s="239"/>
    </row>
    <row r="139" spans="51:58" ht="12.75">
      <c r="AY139" s="103" t="s">
        <v>75</v>
      </c>
      <c r="AZ139" s="103" t="s">
        <v>400</v>
      </c>
      <c r="BA139" s="103" t="s">
        <v>345</v>
      </c>
      <c r="BB139" s="10">
        <v>267393</v>
      </c>
      <c r="BE139" s="237"/>
      <c r="BF139" s="238"/>
    </row>
    <row r="140" spans="51:58" ht="12.75">
      <c r="AY140" s="103" t="s">
        <v>201</v>
      </c>
      <c r="AZ140" s="103" t="s">
        <v>202</v>
      </c>
      <c r="BA140" s="103" t="s">
        <v>524</v>
      </c>
      <c r="BB140" s="10">
        <v>232551</v>
      </c>
      <c r="BE140" s="70"/>
      <c r="BF140" s="239"/>
    </row>
    <row r="141" spans="51:58" ht="12.75">
      <c r="AY141" s="103" t="s">
        <v>167</v>
      </c>
      <c r="AZ141" s="103" t="s">
        <v>168</v>
      </c>
      <c r="BA141" s="103" t="s">
        <v>524</v>
      </c>
      <c r="BB141" s="10">
        <v>350958</v>
      </c>
      <c r="BE141" s="70"/>
      <c r="BF141" s="239"/>
    </row>
    <row r="142" spans="51:58" ht="12.75">
      <c r="AY142" s="103" t="s">
        <v>153</v>
      </c>
      <c r="AZ142" s="103" t="s">
        <v>154</v>
      </c>
      <c r="BA142" s="103" t="s">
        <v>345</v>
      </c>
      <c r="BB142" s="10">
        <v>265654</v>
      </c>
      <c r="BE142" s="70"/>
      <c r="BF142" s="241"/>
    </row>
    <row r="143" spans="51:58" ht="12.75">
      <c r="AY143" s="103" t="s">
        <v>181</v>
      </c>
      <c r="AZ143" s="103" t="s">
        <v>182</v>
      </c>
      <c r="BA143" s="103" t="s">
        <v>345</v>
      </c>
      <c r="BB143" s="10">
        <v>284466</v>
      </c>
      <c r="BE143" s="70"/>
      <c r="BF143" s="249"/>
    </row>
    <row r="144" spans="51:58" ht="12.75">
      <c r="AY144" s="103" t="s">
        <v>146</v>
      </c>
      <c r="AZ144" s="103" t="s">
        <v>147</v>
      </c>
      <c r="BA144" s="103" t="s">
        <v>345</v>
      </c>
      <c r="BB144" s="10">
        <v>319933</v>
      </c>
      <c r="BE144" s="70"/>
      <c r="BF144" s="241"/>
    </row>
    <row r="145" spans="51:58" ht="12.75">
      <c r="AY145" s="103" t="s">
        <v>111</v>
      </c>
      <c r="AZ145" s="103" t="s">
        <v>112</v>
      </c>
      <c r="BA145" s="103" t="s">
        <v>345</v>
      </c>
      <c r="BB145" s="10">
        <v>192336</v>
      </c>
      <c r="BE145" s="248"/>
      <c r="BF145" s="249"/>
    </row>
    <row r="146" spans="51:58" ht="12.75">
      <c r="AY146" s="103" t="s">
        <v>237</v>
      </c>
      <c r="AZ146" s="103" t="s">
        <v>238</v>
      </c>
      <c r="BA146" s="103" t="s">
        <v>345</v>
      </c>
      <c r="BB146" s="10">
        <v>548313</v>
      </c>
      <c r="BF146" s="252"/>
    </row>
    <row r="147" spans="51:58" ht="12.75">
      <c r="AY147" s="103" t="s">
        <v>247</v>
      </c>
      <c r="AZ147" s="103" t="s">
        <v>248</v>
      </c>
      <c r="BA147" s="103" t="s">
        <v>345</v>
      </c>
      <c r="BB147" s="10">
        <v>287229</v>
      </c>
      <c r="BF147" s="252"/>
    </row>
    <row r="148" spans="51:58" ht="12.75">
      <c r="AY148" s="103" t="s">
        <v>222</v>
      </c>
      <c r="AZ148" s="103" t="s">
        <v>447</v>
      </c>
      <c r="BA148" s="103" t="s">
        <v>524</v>
      </c>
      <c r="BB148" s="10">
        <v>707573</v>
      </c>
      <c r="BF148" s="252"/>
    </row>
    <row r="149" spans="51:58" ht="12.75">
      <c r="AY149" s="103" t="s">
        <v>218</v>
      </c>
      <c r="AZ149" s="103" t="s">
        <v>219</v>
      </c>
      <c r="BA149" s="103" t="s">
        <v>524</v>
      </c>
      <c r="BB149" s="10">
        <v>825533</v>
      </c>
      <c r="BE149" s="248"/>
      <c r="BF149" s="249"/>
    </row>
    <row r="150" spans="51:58" ht="12.75">
      <c r="AY150" s="103" t="s">
        <v>196</v>
      </c>
      <c r="AZ150" s="103" t="s">
        <v>197</v>
      </c>
      <c r="BA150" s="103" t="s">
        <v>345</v>
      </c>
      <c r="BB150" s="10">
        <v>259945</v>
      </c>
      <c r="BF150" s="252"/>
    </row>
    <row r="151" spans="51:58" ht="12.75">
      <c r="AY151" s="103" t="s">
        <v>138</v>
      </c>
      <c r="AZ151" s="103" t="s">
        <v>139</v>
      </c>
      <c r="BA151" s="103" t="s">
        <v>345</v>
      </c>
      <c r="BB151" s="10">
        <v>246573</v>
      </c>
      <c r="BF151" s="252"/>
    </row>
    <row r="152" spans="51:58" ht="12.75">
      <c r="AY152" s="103" t="s">
        <v>266</v>
      </c>
      <c r="AZ152" s="103" t="s">
        <v>267</v>
      </c>
      <c r="BA152" s="103" t="s">
        <v>524</v>
      </c>
      <c r="BB152" s="10">
        <v>462395</v>
      </c>
      <c r="BE152" s="250"/>
      <c r="BF152" s="239"/>
    </row>
    <row r="153" spans="51:58" ht="12.75">
      <c r="AY153" s="103" t="s">
        <v>191</v>
      </c>
      <c r="AZ153" s="103" t="s">
        <v>192</v>
      </c>
      <c r="BA153" s="103" t="s">
        <v>345</v>
      </c>
      <c r="BB153" s="10">
        <v>332176</v>
      </c>
      <c r="BF153" s="252"/>
    </row>
    <row r="154" spans="51:58" ht="12.75">
      <c r="AY154" s="103" t="s">
        <v>161</v>
      </c>
      <c r="AZ154" s="103" t="s">
        <v>434</v>
      </c>
      <c r="BA154" s="103" t="s">
        <v>345</v>
      </c>
      <c r="BB154" s="10">
        <v>246213</v>
      </c>
      <c r="BE154" s="237"/>
      <c r="BF154" s="238"/>
    </row>
    <row r="155" spans="51:58" ht="12.75">
      <c r="AY155" s="103" t="s">
        <v>235</v>
      </c>
      <c r="AZ155" s="103" t="s">
        <v>236</v>
      </c>
      <c r="BA155" s="103" t="s">
        <v>524</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539</v>
      </c>
      <c r="B3" s="56" t="s">
        <v>267</v>
      </c>
      <c r="C3" s="56" t="s">
        <v>24</v>
      </c>
    </row>
    <row r="4" spans="1:2" ht="12.75">
      <c r="A4" s="76">
        <v>1</v>
      </c>
      <c r="B4" s="78" t="s">
        <v>266</v>
      </c>
    </row>
    <row r="5" ht="12.75">
      <c r="A5" s="280" t="s">
        <v>539</v>
      </c>
    </row>
    <row r="6" ht="12.75">
      <c r="A6" s="280" t="s">
        <v>578</v>
      </c>
    </row>
    <row r="7" ht="12.75">
      <c r="A7" s="280" t="s">
        <v>541</v>
      </c>
    </row>
    <row r="8" ht="12.75">
      <c r="A8" s="280" t="s">
        <v>545</v>
      </c>
    </row>
    <row r="9" ht="12.75">
      <c r="A9" s="280" t="s">
        <v>530</v>
      </c>
    </row>
    <row r="10" ht="12.75">
      <c r="A10" s="280" t="s">
        <v>584</v>
      </c>
    </row>
    <row r="11" ht="12.75">
      <c r="A11" s="280" t="s">
        <v>581</v>
      </c>
    </row>
    <row r="12" ht="12.75">
      <c r="A12" s="280" t="s">
        <v>586</v>
      </c>
    </row>
    <row r="13" ht="12.75">
      <c r="A13" s="280" t="s">
        <v>589</v>
      </c>
    </row>
    <row r="14" ht="12.75">
      <c r="A14" s="280" t="s">
        <v>536</v>
      </c>
    </row>
    <row r="15" ht="12.75">
      <c r="A15" s="280" t="s">
        <v>547</v>
      </c>
    </row>
    <row r="16" ht="12.75">
      <c r="A16" s="280" t="s">
        <v>549</v>
      </c>
    </row>
    <row r="17" ht="12.75">
      <c r="A17" s="280" t="s">
        <v>571</v>
      </c>
    </row>
    <row r="18" ht="12.75">
      <c r="A18" s="280" t="s">
        <v>537</v>
      </c>
    </row>
    <row r="19" ht="12.75">
      <c r="A19" s="280" t="s">
        <v>564</v>
      </c>
    </row>
    <row r="20" ht="12.75">
      <c r="A20" s="280" t="s">
        <v>577</v>
      </c>
    </row>
    <row r="21" ht="12.75">
      <c r="A21" s="280" t="s">
        <v>574</v>
      </c>
    </row>
    <row r="22" ht="12.75">
      <c r="A22" s="280" t="s">
        <v>585</v>
      </c>
    </row>
    <row r="23" ht="12.75">
      <c r="A23" s="280" t="s">
        <v>557</v>
      </c>
    </row>
    <row r="24" ht="12.75">
      <c r="A24" s="280" t="s">
        <v>546</v>
      </c>
    </row>
    <row r="25" ht="12.75">
      <c r="A25" s="280" t="s">
        <v>535</v>
      </c>
    </row>
    <row r="26" ht="12.75">
      <c r="A26" s="280" t="s">
        <v>544</v>
      </c>
    </row>
    <row r="27" ht="12.75">
      <c r="A27" s="280" t="s">
        <v>528</v>
      </c>
    </row>
    <row r="28" ht="12.75">
      <c r="A28" s="280" t="s">
        <v>532</v>
      </c>
    </row>
    <row r="29" ht="12.75">
      <c r="A29" s="280" t="s">
        <v>583</v>
      </c>
    </row>
    <row r="30" ht="12.75">
      <c r="A30" s="280" t="s">
        <v>572</v>
      </c>
    </row>
    <row r="31" ht="12.75">
      <c r="A31" s="280" t="s">
        <v>551</v>
      </c>
    </row>
    <row r="32" ht="12.75">
      <c r="A32" s="280" t="s">
        <v>580</v>
      </c>
    </row>
    <row r="33" ht="12.75">
      <c r="A33" s="280" t="s">
        <v>533</v>
      </c>
    </row>
    <row r="34" ht="12.75">
      <c r="A34" s="280" t="s">
        <v>555</v>
      </c>
    </row>
    <row r="35" ht="12.75">
      <c r="A35" s="280" t="s">
        <v>567</v>
      </c>
    </row>
    <row r="36" ht="12.75">
      <c r="A36" s="280" t="s">
        <v>552</v>
      </c>
    </row>
    <row r="37" ht="12.75">
      <c r="A37" s="280" t="s">
        <v>569</v>
      </c>
    </row>
    <row r="38" ht="12.75">
      <c r="A38" s="280" t="s">
        <v>566</v>
      </c>
    </row>
    <row r="39" ht="12.75">
      <c r="A39" s="280" t="s">
        <v>538</v>
      </c>
    </row>
    <row r="40" ht="12.75">
      <c r="A40" s="280" t="s">
        <v>553</v>
      </c>
    </row>
    <row r="41" ht="12.75">
      <c r="A41" s="280" t="s">
        <v>542</v>
      </c>
    </row>
    <row r="42" ht="12.75">
      <c r="A42" s="280" t="s">
        <v>575</v>
      </c>
    </row>
    <row r="43" ht="12.75">
      <c r="A43" s="280" t="s">
        <v>563</v>
      </c>
    </row>
    <row r="44" ht="12.75">
      <c r="A44" s="280" t="s">
        <v>540</v>
      </c>
    </row>
    <row r="45" ht="12.75">
      <c r="A45" s="280" t="s">
        <v>534</v>
      </c>
    </row>
    <row r="46" ht="12.75">
      <c r="A46" s="280" t="s">
        <v>531</v>
      </c>
    </row>
    <row r="47" ht="12.75">
      <c r="A47" s="280" t="s">
        <v>559</v>
      </c>
    </row>
    <row r="48" ht="12.75">
      <c r="A48" s="280" t="s">
        <v>556</v>
      </c>
    </row>
    <row r="49" ht="12.75">
      <c r="A49" s="280" t="s">
        <v>582</v>
      </c>
    </row>
    <row r="50" ht="12.75">
      <c r="A50" s="280" t="s">
        <v>588</v>
      </c>
    </row>
    <row r="51" ht="12.75">
      <c r="A51" s="280" t="s">
        <v>562</v>
      </c>
    </row>
    <row r="52" ht="12.75">
      <c r="A52" s="280" t="s">
        <v>560</v>
      </c>
    </row>
    <row r="53" ht="12.75">
      <c r="A53" s="280" t="s">
        <v>543</v>
      </c>
    </row>
    <row r="54" ht="12.75">
      <c r="A54" s="280" t="s">
        <v>587</v>
      </c>
    </row>
    <row r="55" ht="12.75">
      <c r="A55" s="280" t="s">
        <v>565</v>
      </c>
    </row>
    <row r="56" ht="12.75">
      <c r="A56" s="280" t="s">
        <v>561</v>
      </c>
    </row>
    <row r="57" ht="12.75">
      <c r="A57" s="280" t="s">
        <v>573</v>
      </c>
    </row>
    <row r="58" ht="12.75">
      <c r="A58" s="280" t="s">
        <v>550</v>
      </c>
    </row>
    <row r="59" ht="12.75">
      <c r="A59" s="280" t="s">
        <v>579</v>
      </c>
    </row>
    <row r="60" ht="12.75">
      <c r="A60" s="280" t="s">
        <v>548</v>
      </c>
    </row>
    <row r="61" ht="12.75">
      <c r="A61" s="280" t="s">
        <v>568</v>
      </c>
    </row>
    <row r="62" ht="12.75">
      <c r="A62" s="280" t="s">
        <v>576</v>
      </c>
    </row>
    <row r="63" ht="12.75">
      <c r="A63" s="280" t="s">
        <v>554</v>
      </c>
    </row>
    <row r="64" ht="12.75">
      <c r="A64" s="280" t="s">
        <v>529</v>
      </c>
    </row>
    <row r="65" ht="12.75">
      <c r="A65" s="280" t="s">
        <v>558</v>
      </c>
    </row>
    <row r="66" ht="12.75">
      <c r="A66" s="280" t="s">
        <v>570</v>
      </c>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