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<sst xmlns="http://schemas.openxmlformats.org/spreadsheetml/2006/main" count="1223" uniqueCount="547">
  <si>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</si>
  <si>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</si>
  <si>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</si>
  <si>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</si>
  <si>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</si>
  <si>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</si>
  <si>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</si>
  <si>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</si>
  <si>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</si>
  <si>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</si>
  <si>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</si>
  <si>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</si>
  <si>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</si>
  <si>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</si>
  <si>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</si>
  <si>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</si>
  <si>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</si>
  <si>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</si>
  <si>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</si>
  <si>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</si>
  <si>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</si>
  <si>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</si>
  <si>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</si>
  <si>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</si>
  <si>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</si>
  <si>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</si>
  <si>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</si>
  <si>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</si>
  <si>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</si>
  <si>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</si>
  <si>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</si>
  <si>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</si>
  <si>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</si>
  <si>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</si>
  <si>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</si>
  <si>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</si>
  <si>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</si>
  <si>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</si>
  <si>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</si>
  <si>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</si>
  <si>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</si>
  <si>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</si>
  <si>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</si>
  <si>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</si>
  <si>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</si>
  <si>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</si>
  <si>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</si>
  <si>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</si>
  <si>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</si>
  <si>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</si>
  <si>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</si>
  <si>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</si>
  <si>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</si>
  <si>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</si>
  <si>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</si>
  <si>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</si>
  <si>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</si>
  <si>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</si>
  <si>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</si>
  <si>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</si>
  <si>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</si>
  <si>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</si>
  <si>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</si>
  <si>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</si>
  <si>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</si>
  <si>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</si>
  <si>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</si>
  <si>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</si>
  <si>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</si>
  <si>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</si>
  <si>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</si>
  <si>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</si>
  <si>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</si>
  <si>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</si>
  <si>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</si>
  <si>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</si>
  <si>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</si>
  <si>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</si>
  <si>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</si>
  <si>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</si>
  <si>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</si>
  <si>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</si>
  <si>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</si>
  <si>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</si>
  <si>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</si>
  <si>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</si>
  <si>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</si>
  <si>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</si>
  <si>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</si>
  <si>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</si>
  <si>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</si>
  <si>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</si>
  <si>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</si>
  <si>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</si>
  <si>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</si>
  <si>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</si>
  <si>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</si>
  <si>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</si>
  <si>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</si>
  <si>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</si>
  <si>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</si>
  <si>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</si>
  <si>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</si>
  <si>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</si>
  <si>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</si>
  <si>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</si>
  <si>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</si>
  <si>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</si>
  <si>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</si>
  <si>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</si>
  <si>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</si>
  <si>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</si>
  <si>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</si>
  <si>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</si>
  <si>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</si>
  <si>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</si>
  <si>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</si>
  <si>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</si>
  <si>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</si>
  <si>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</si>
  <si>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</si>
  <si>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</si>
  <si>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</si>
  <si>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</si>
  <si>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</si>
  <si>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</si>
  <si>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</si>
  <si>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</si>
  <si>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</si>
  <si>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</si>
  <si>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</si>
  <si>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</si>
  <si>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</si>
  <si>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</si>
  <si>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</si>
  <si>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</si>
  <si>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</si>
  <si>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</si>
  <si>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</si>
  <si>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</si>
  <si>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</si>
  <si>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</si>
  <si>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</si>
  <si>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</si>
  <si>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</si>
  <si>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</si>
  <si>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</si>
  <si>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</si>
  <si>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</si>
  <si>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</si>
  <si>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</si>
  <si>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</si>
  <si>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</si>
  <si>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</si>
  <si>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</si>
  <si>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</si>
  <si>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</si>
  <si>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</si>
  <si>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</si>
  <si>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</si>
  <si>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</si>
  <si>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</si>
  <si>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</si>
  <si>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</si>
  <si>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</si>
  <si>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</si>
  <si>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</si>
  <si>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</si>
  <si>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</si>
  <si>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</si>
  <si>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</si>
  <si>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</si>
  <si>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</si>
  <si>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</si>
  <si>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</si>
  <si>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</si>
  <si>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</si>
  <si>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</si>
  <si>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</si>
  <si>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</si>
  <si>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</si>
  <si>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</si>
  <si>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</si>
  <si>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</si>
  <si>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</si>
  <si>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</si>
  <si>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</si>
  <si>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</si>
  <si>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</si>
  <si>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</si>
  <si>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</si>
  <si>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</si>
  <si>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</si>
  <si>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</si>
  <si>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</si>
  <si>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</si>
  <si>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</si>
  <si>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</si>
  <si>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</si>
  <si>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</si>
  <si>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</si>
  <si>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</si>
  <si>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</si>
  <si>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</si>
  <si>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</si>
  <si>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</si>
  <si>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</si>
  <si>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</si>
  <si>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</si>
  <si>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</si>
  <si>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</si>
  <si>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</si>
  <si>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</si>
  <si>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</si>
  <si>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</si>
  <si>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</si>
  <si>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</si>
  <si>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</si>
  <si>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</si>
  <si>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</si>
  <si>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</si>
  <si>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</si>
  <si>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</si>
  <si>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</si>
  <si>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</si>
  <si>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</si>
  <si>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</si>
  <si>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</si>
  <si>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</si>
  <si>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</si>
  <si>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</si>
  <si>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</si>
  <si>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</si>
  <si>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</si>
  <si>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</si>
  <si>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</si>
  <si>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</si>
  <si>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</si>
  <si>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</si>
  <si>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</si>
  <si>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</si>
  <si>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</si>
  <si>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</si>
  <si>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</si>
  <si>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</si>
  <si>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</si>
  <si>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</si>
  <si>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</si>
  <si>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</si>
  <si>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</si>
  <si>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</si>
  <si>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</si>
  <si>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</si>
  <si>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</si>
  <si>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</si>
  <si>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</si>
  <si>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</si>
  <si>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</si>
  <si>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</si>
  <si>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</si>
  <si>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</si>
  <si>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</si>
  <si>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</si>
  <si>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</si>
  <si>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</si>
  <si>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</si>
  <si>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</si>
  <si>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</si>
  <si>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</si>
  <si>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</si>
  <si>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</si>
  <si>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</si>
  <si>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</si>
  <si>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</si>
  <si>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</si>
  <si>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</si>
  <si>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</si>
  <si>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</si>
  <si>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</si>
  <si>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</si>
  <si>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</si>
  <si>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</si>
  <si>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M83005</t>
  </si>
  <si>
    <t>M83007</t>
  </si>
  <si>
    <t>M83011</t>
  </si>
  <si>
    <t>M83012</t>
  </si>
  <si>
    <t>M83015</t>
  </si>
  <si>
    <t>M83017</t>
  </si>
  <si>
    <t>M83019</t>
  </si>
  <si>
    <t>M83023</t>
  </si>
  <si>
    <t>M83025</t>
  </si>
  <si>
    <t>M83034</t>
  </si>
  <si>
    <t>M83046</t>
  </si>
  <si>
    <t>M83054</t>
  </si>
  <si>
    <t>M83056</t>
  </si>
  <si>
    <t>M83067</t>
  </si>
  <si>
    <t>M83071</t>
  </si>
  <si>
    <t>M83079</t>
  </si>
  <si>
    <t>M83084</t>
  </si>
  <si>
    <t>M83089</t>
  </si>
  <si>
    <t>M83096</t>
  </si>
  <si>
    <t>M83103</t>
  </si>
  <si>
    <t>M83108</t>
  </si>
  <si>
    <t>M83121</t>
  </si>
  <si>
    <t>M83122</t>
  </si>
  <si>
    <t>M83140</t>
  </si>
  <si>
    <t>M83141</t>
  </si>
  <si>
    <t>M83640</t>
  </si>
  <si>
    <t>M83658</t>
  </si>
  <si>
    <t>M83665</t>
  </si>
  <si>
    <t>M83691</t>
  </si>
  <si>
    <t>M83697</t>
  </si>
  <si>
    <t>M83701</t>
  </si>
  <si>
    <t>M83723</t>
  </si>
  <si>
    <t>5CC</t>
  </si>
  <si>
    <t>Y00040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</si>
  <si>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</si>
  <si>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</si>
  <si>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</si>
  <si>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</si>
  <si>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</si>
  <si>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</si>
  <si>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</si>
  <si>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</si>
  <si>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</si>
  <si>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</si>
  <si>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</si>
  <si>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</si>
  <si>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</si>
  <si>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</si>
  <si>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</si>
  <si>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</si>
  <si>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</si>
  <si>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</si>
  <si>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</si>
  <si>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</si>
  <si>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</si>
  <si>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</si>
  <si>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</si>
  <si>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</si>
  <si>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</si>
  <si>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</si>
  <si>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</si>
  <si>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</si>
  <si>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</si>
  <si>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</si>
  <si>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</si>
  <si>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</si>
  <si>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</si>
  <si>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</si>
  <si>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</si>
  <si>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</si>
  <si>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</si>
  <si>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</si>
  <si>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</si>
  <si>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</si>
  <si>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</si>
  <si>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</si>
  <si>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</si>
  <si>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</si>
  <si>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</si>
  <si>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</si>
  <si>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</si>
  <si>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</si>
  <si>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</si>
  <si>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</si>
  <si>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</si>
  <si>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</si>
  <si>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</si>
  <si>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</si>
  <si>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</si>
  <si>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</si>
  <si>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</si>
  <si>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</si>
  <si>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</si>
  <si>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</si>
  <si>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</si>
  <si>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</si>
  <si>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</si>
  <si>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</si>
  <si>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</si>
  <si>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</si>
  <si>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</si>
  <si>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</si>
  <si>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</si>
  <si>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</si>
  <si>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</si>
  <si>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</si>
  <si>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</si>
  <si>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</si>
  <si>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</si>
  <si>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</si>
  <si>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</si>
  <si>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</si>
  <si>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</si>
  <si>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</si>
  <si>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</si>
  <si>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</si>
  <si>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</si>
  <si>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</si>
  <si>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</si>
  <si>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</si>
  <si>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</si>
  <si>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</si>
  <si>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</si>
  <si>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</si>
  <si>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</si>
  <si>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</si>
  <si>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</si>
  <si>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</si>
  <si>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</si>
  <si>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</si>
  <si>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</si>
  <si>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</si>
  <si>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</si>
  <si>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</si>
  <si>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</si>
  <si>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</si>
  <si>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</si>
  <si>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</si>
  <si>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</si>
  <si>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</si>
  <si>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</si>
  <si>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</si>
  <si>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</si>
  <si>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</si>
  <si>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</si>
  <si>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</si>
  <si>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</si>
  <si>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</si>
  <si>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</si>
  <si>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</si>
  <si>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</si>
  <si>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</si>
  <si>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</si>
  <si>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</si>
  <si>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</si>
  <si>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</si>
  <si>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</si>
  <si>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</si>
  <si>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</si>
  <si>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</si>
  <si>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</si>
  <si>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</si>
  <si>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</si>
  <si>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</si>
  <si>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</si>
  <si>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</si>
  <si>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</si>
  <si>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</si>
  <si>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</si>
  <si>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</si>
  <si>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</si>
  <si>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</si>
  <si>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</si>
  <si>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</si>
  <si>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</si>
  <si>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</si>
  <si>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</si>
  <si>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</si>
  <si>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</si>
  <si>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</si>
  <si>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</si>
  <si>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</si>
  <si>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</si>
  <si>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</si>
  <si>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</si>
  <si>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</si>
  <si>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</si>
  <si>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</si>
  <si>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</si>
  <si>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</si>
  <si>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</si>
  <si>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</si>
  <si>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</si>
  <si>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</si>
  <si>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</si>
  <si>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</si>
  <si>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</si>
  <si>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</si>
  <si>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</si>
  <si>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</si>
  <si>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</si>
  <si>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</si>
  <si>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</si>
  <si>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</si>
  <si>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</si>
  <si>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</si>
  <si>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</si>
  <si>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</si>
  <si>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</si>
  <si>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</si>
  <si>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</si>
  <si>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</si>
  <si>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</si>
  <si>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</si>
  <si>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</si>
  <si>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Y02570</t>
  </si>
  <si>
    <t>2010/11</t>
  </si>
  <si>
    <t>2008/09-2010/11</t>
  </si>
  <si>
    <t>2005/06-2010/11</t>
  </si>
  <si>
    <t>(M83005) HEATHCOTE STREET SURGERY</t>
  </si>
  <si>
    <t>(M83007) THE VILLAGE SURGERY</t>
  </si>
  <si>
    <t>(M83011) DR AG BENNETT'S PRACTICE</t>
  </si>
  <si>
    <t>(M83015) MOSS LANE SURGERY</t>
  </si>
  <si>
    <t>(M83017) ASHLEY SURGERY</t>
  </si>
  <si>
    <t>(M83019) DR AF REES' PRACTICE</t>
  </si>
  <si>
    <t>(M83025) MILLER STREET SURGERY</t>
  </si>
  <si>
    <t>(M83034) SILVERDALE MEDICAL CENTRE</t>
  </si>
  <si>
    <t>(M83046) DR JM KING'S PRACTICE</t>
  </si>
  <si>
    <t>(M83054) AUDLEY HEALTH CENTRE</t>
  </si>
  <si>
    <t>(M83056) WOLSTANTON MEDICAL CENTRE</t>
  </si>
  <si>
    <t>(M83067) LYME VALLEY PRACTICE</t>
  </si>
  <si>
    <t>(M83084) DR J HOLLAND'S PRACTICE</t>
  </si>
  <si>
    <t>(M83096) DR KS UPTON'S PRACTICE</t>
  </si>
  <si>
    <t>(M83103) DR P CRAVEN'S PRACTICE</t>
  </si>
  <si>
    <t>(M83108) DR DO YATES' PRACTICE</t>
  </si>
  <si>
    <t>(M83121) THE NEW SURGERY</t>
  </si>
  <si>
    <t>(M83140) HIGHERLAND SURGERY</t>
  </si>
  <si>
    <t>(M83141) KINGSBRIDGE MEDICAL CENTRE</t>
  </si>
  <si>
    <t>(M83640) ALTON PRIMARY CARE CENTRE</t>
  </si>
  <si>
    <t>(M83658) DR P FRANKLIN</t>
  </si>
  <si>
    <t>(M83665) R J MITCHELL MEDICAL CENTRE</t>
  </si>
  <si>
    <t>(M83691) BETLEY SURGERY</t>
  </si>
  <si>
    <t>(M83697) MILEHOUSE MEDICAL PRACTICE</t>
  </si>
  <si>
    <t>(M83701) TALKE PITS CLINIC</t>
  </si>
  <si>
    <t>(M83723) LOOMER ROAD SURGERY</t>
  </si>
  <si>
    <t>(Y00040) HIGH STREET MEDICAL PRACTICE</t>
  </si>
  <si>
    <t>(Y02570) MIDWAY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</si>
  <si>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</si>
  <si>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</si>
  <si>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</si>
  <si>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</si>
  <si>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</si>
  <si>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</si>
  <si>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</si>
  <si>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</si>
  <si>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</si>
  <si>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</si>
  <si>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(M83012) DR HOPKINS + PARTNERS</t>
  </si>
  <si>
    <t>(M83023) DR RABIE + PARTNERS</t>
  </si>
  <si>
    <t>(M83071) DR SOMERVILLE + PARTNERS</t>
  </si>
  <si>
    <t>(M83079) DR D HUGHES + PARTNERS</t>
  </si>
  <si>
    <t>(M83089) DR JG JOHNSTON + PARTNERS</t>
  </si>
  <si>
    <t>(M83122) DR ANGRIS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</si>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</sst>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0.6444417755084397</c:v>
                </c:pt>
                <c:pt idx="3">
                  <c:v>1</c:v>
                </c:pt>
                <c:pt idx="4">
                  <c:v>0.9573366170400661</c:v>
                </c:pt>
                <c:pt idx="5">
                  <c:v>0.8266015082492836</c:v>
                </c:pt>
                <c:pt idx="6">
                  <c:v>0.7741935595319558</c:v>
                </c:pt>
                <c:pt idx="7">
                  <c:v>0.6713438790162127</c:v>
                </c:pt>
                <c:pt idx="8">
                  <c:v>0.8404396040874663</c:v>
                </c:pt>
                <c:pt idx="9">
                  <c:v>0.7628848889672463</c:v>
                </c:pt>
                <c:pt idx="10">
                  <c:v>0.8187927679420248</c:v>
                </c:pt>
                <c:pt idx="11">
                  <c:v>0.6874553878114525</c:v>
                </c:pt>
                <c:pt idx="12">
                  <c:v>1</c:v>
                </c:pt>
                <c:pt idx="13">
                  <c:v>0</c:v>
                </c:pt>
                <c:pt idx="14">
                  <c:v>0.9649236086770497</c:v>
                </c:pt>
                <c:pt idx="15">
                  <c:v>0.8982046163008292</c:v>
                </c:pt>
                <c:pt idx="16">
                  <c:v>0.9879953849543333</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0.556130429238552</c:v>
                </c:pt>
                <c:pt idx="3">
                  <c:v>0.6527777915751487</c:v>
                </c:pt>
                <c:pt idx="4">
                  <c:v>0.6058256598292432</c:v>
                </c:pt>
                <c:pt idx="5">
                  <c:v>0.5566555701609303</c:v>
                </c:pt>
                <c:pt idx="6">
                  <c:v>0.5806451433616364</c:v>
                </c:pt>
                <c:pt idx="7">
                  <c:v>0.5596499377057813</c:v>
                </c:pt>
                <c:pt idx="8">
                  <c:v>0.5483805849480471</c:v>
                </c:pt>
                <c:pt idx="9">
                  <c:v>0.5887541290080068</c:v>
                </c:pt>
                <c:pt idx="10">
                  <c:v>0.574090058312733</c:v>
                </c:pt>
                <c:pt idx="11">
                  <c:v>0.5445889693898104</c:v>
                </c:pt>
                <c:pt idx="12">
                  <c:v>0.7002964974583774</c:v>
                </c:pt>
                <c:pt idx="13">
                  <c:v>0</c:v>
                </c:pt>
                <c:pt idx="14">
                  <c:v>0.6755785998788426</c:v>
                </c:pt>
                <c:pt idx="15">
                  <c:v>0.5624931544512412</c:v>
                </c:pt>
                <c:pt idx="16">
                  <c:v>0.5703393743923973</c:v>
                </c:pt>
                <c:pt idx="17">
                  <c:v>0.5992148791558622</c:v>
                </c:pt>
                <c:pt idx="18">
                  <c:v>0.6596977825531725</c:v>
                </c:pt>
                <c:pt idx="19">
                  <c:v>0.6349491312335763</c:v>
                </c:pt>
                <c:pt idx="20">
                  <c:v>0.5789883036147473</c:v>
                </c:pt>
                <c:pt idx="21">
                  <c:v>0.741088247039514</c:v>
                </c:pt>
                <c:pt idx="22">
                  <c:v>0.6450192958935311</c:v>
                </c:pt>
                <c:pt idx="23">
                  <c:v>0.6146010318265261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0.4704464048480553</c:v>
                </c:pt>
                <c:pt idx="3">
                  <c:v>0.4444444582418154</c:v>
                </c:pt>
                <c:pt idx="4">
                  <c:v>0.42848358077613286</c:v>
                </c:pt>
                <c:pt idx="5">
                  <c:v>0.30660993696837846</c:v>
                </c:pt>
                <c:pt idx="6">
                  <c:v>0.4274193289147986</c:v>
                </c:pt>
                <c:pt idx="7">
                  <c:v>0.42546595125579173</c:v>
                </c:pt>
                <c:pt idx="8">
                  <c:v>0.3682807028670018</c:v>
                </c:pt>
                <c:pt idx="9">
                  <c:v>0.4217517638723026</c:v>
                </c:pt>
                <c:pt idx="10">
                  <c:v>0.3767293612768255</c:v>
                </c:pt>
                <c:pt idx="11">
                  <c:v>0.3743804048941185</c:v>
                </c:pt>
                <c:pt idx="12">
                  <c:v>0.42053561189803446</c:v>
                </c:pt>
                <c:pt idx="13">
                  <c:v>0</c:v>
                </c:pt>
                <c:pt idx="14">
                  <c:v>0.4301504042341829</c:v>
                </c:pt>
                <c:pt idx="15">
                  <c:v>0.4250448270024489</c:v>
                </c:pt>
                <c:pt idx="16">
                  <c:v>0.36905002843960233</c:v>
                </c:pt>
                <c:pt idx="17">
                  <c:v>0.4393719387490022</c:v>
                </c:pt>
                <c:pt idx="18">
                  <c:v>0.40387116773023957</c:v>
                </c:pt>
                <c:pt idx="19">
                  <c:v>0.36893353152283925</c:v>
                </c:pt>
                <c:pt idx="20">
                  <c:v>0.42315382100251175</c:v>
                </c:pt>
                <c:pt idx="21">
                  <c:v>0.24804367597965382</c:v>
                </c:pt>
                <c:pt idx="22">
                  <c:v>0.40650160293791543</c:v>
                </c:pt>
                <c:pt idx="23">
                  <c:v>0.3724291773006679</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0.16666668736272305</c:v>
                </c:pt>
                <c:pt idx="4">
                  <c:v>0</c:v>
                </c:pt>
                <c:pt idx="5">
                  <c:v>0</c:v>
                </c:pt>
                <c:pt idx="6">
                  <c:v>0</c:v>
                </c:pt>
                <c:pt idx="7">
                  <c:v>0</c:v>
                </c:pt>
                <c:pt idx="8">
                  <c:v>0</c:v>
                </c:pt>
                <c:pt idx="9">
                  <c:v>0</c:v>
                </c:pt>
                <c:pt idx="10">
                  <c:v>0</c:v>
                </c:pt>
                <c:pt idx="11">
                  <c:v>0</c:v>
                </c:pt>
                <c:pt idx="12">
                  <c:v>0.2090408735588238</c:v>
                </c:pt>
                <c:pt idx="13">
                  <c:v>0</c:v>
                </c:pt>
                <c:pt idx="14">
                  <c:v>0</c:v>
                </c:pt>
                <c:pt idx="15">
                  <c:v>0</c:v>
                </c:pt>
                <c:pt idx="16">
                  <c:v>0</c:v>
                </c:pt>
                <c:pt idx="17">
                  <c:v>0.13142411972059664</c:v>
                </c:pt>
                <c:pt idx="18">
                  <c:v>0.21227494225107166</c:v>
                </c:pt>
                <c:pt idx="19">
                  <c:v>0.21624404021809768</c:v>
                </c:pt>
                <c:pt idx="20">
                  <c:v>0.23634402995463272</c:v>
                </c:pt>
                <c:pt idx="21">
                  <c:v>0.06447484037736319</c:v>
                </c:pt>
                <c:pt idx="22">
                  <c:v>0.264060330484502</c:v>
                </c:pt>
                <c:pt idx="23">
                  <c:v>0.15643377299851902</c:v>
                </c:pt>
                <c:pt idx="24">
                  <c:v>0</c:v>
                </c:pt>
                <c:pt idx="25">
                  <c:v>0</c:v>
                </c:pt>
                <c:pt idx="26">
                  <c:v>0</c:v>
                </c:pt>
              </c:numCache>
            </c:numRef>
          </c:val>
        </c:ser>
        <c:overlap val="100"/>
        <c:gapWidth val="100"/>
        <c:axId val="50139739"/>
        <c:axId val="4860446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0.37935948250169266</c:v>
                </c:pt>
                <c:pt idx="3">
                  <c:v>0.7228294551543862</c:v>
                </c:pt>
                <c:pt idx="4">
                  <c:v>0.42392752239288223</c:v>
                </c:pt>
                <c:pt idx="5">
                  <c:v>0.42840511953133076</c:v>
                </c:pt>
                <c:pt idx="6">
                  <c:v>0.41744277868288737</c:v>
                </c:pt>
                <c:pt idx="7">
                  <c:v>0.441012939954895</c:v>
                </c:pt>
                <c:pt idx="8">
                  <c:v>0.5211667031944471</c:v>
                </c:pt>
                <c:pt idx="9">
                  <c:v>0.342018591053132</c:v>
                </c:pt>
                <c:pt idx="10">
                  <c:v>0.257472198122725</c:v>
                </c:pt>
                <c:pt idx="11">
                  <c:v>0.3782066880114737</c:v>
                </c:pt>
                <c:pt idx="12">
                  <c:v>0.4049219563965982</c:v>
                </c:pt>
                <c:pt idx="13">
                  <c:v>0.5</c:v>
                </c:pt>
                <c:pt idx="14">
                  <c:v>0.46445081077073386</c:v>
                </c:pt>
                <c:pt idx="15">
                  <c:v>0.401569632328747</c:v>
                </c:pt>
                <c:pt idx="16">
                  <c:v>0.549678712995124</c:v>
                </c:pt>
                <c:pt idx="17">
                  <c:v>0.387166388159069</c:v>
                </c:pt>
                <c:pt idx="18">
                  <c:v>0.4692923009219245</c:v>
                </c:pt>
                <c:pt idx="19">
                  <c:v>0.446367131696417</c:v>
                </c:pt>
                <c:pt idx="20">
                  <c:v>0.5427497087289455</c:v>
                </c:pt>
                <c:pt idx="21">
                  <c:v>0.6948841710182817</c:v>
                </c:pt>
                <c:pt idx="22">
                  <c:v>0.5273218497145611</c:v>
                </c:pt>
                <c:pt idx="23">
                  <c:v>0.5701077999117866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0.6751489794987814</c:v>
                </c:pt>
                <c:pt idx="5">
                  <c:v>0.5333101659700423</c:v>
                </c:pt>
                <c:pt idx="6">
                  <c:v>0.4838709602719727</c:v>
                </c:pt>
                <c:pt idx="7">
                  <c:v>0.4302112348587049</c:v>
                </c:pt>
                <c:pt idx="8">
                  <c:v>-999</c:v>
                </c:pt>
                <c:pt idx="9">
                  <c:v>0.5965964587587083</c:v>
                </c:pt>
                <c:pt idx="10">
                  <c:v>0.5935152563055035</c:v>
                </c:pt>
                <c:pt idx="11">
                  <c:v>-999</c:v>
                </c:pt>
                <c:pt idx="12">
                  <c:v>-999</c:v>
                </c:pt>
                <c:pt idx="13">
                  <c:v>-999</c:v>
                </c:pt>
                <c:pt idx="14">
                  <c:v>-999</c:v>
                </c:pt>
                <c:pt idx="15">
                  <c:v>-999</c:v>
                </c:pt>
                <c:pt idx="16">
                  <c:v>0.5435124746938991</c:v>
                </c:pt>
                <c:pt idx="17">
                  <c:v>0.4306531103047785</c:v>
                </c:pt>
                <c:pt idx="18">
                  <c:v>-999</c:v>
                </c:pt>
                <c:pt idx="19">
                  <c:v>-999</c:v>
                </c:pt>
                <c:pt idx="20">
                  <c:v>0.6556730324878619</c:v>
                </c:pt>
                <c:pt idx="21">
                  <c:v>-999</c:v>
                </c:pt>
                <c:pt idx="22">
                  <c:v>0.30179745360844734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0.6444417766100274</c:v>
                </c:pt>
                <c:pt idx="3">
                  <c:v>0.2777777899194642</c:v>
                </c:pt>
                <c:pt idx="4">
                  <c:v>-999</c:v>
                </c:pt>
                <c:pt idx="5">
                  <c:v>-999</c:v>
                </c:pt>
                <c:pt idx="6">
                  <c:v>-999</c:v>
                </c:pt>
                <c:pt idx="7">
                  <c:v>-999</c:v>
                </c:pt>
                <c:pt idx="8">
                  <c:v>-999</c:v>
                </c:pt>
                <c:pt idx="9">
                  <c:v>-999</c:v>
                </c:pt>
                <c:pt idx="10">
                  <c:v>-999</c:v>
                </c:pt>
                <c:pt idx="11">
                  <c:v>0.6874553573953441</c:v>
                </c:pt>
                <c:pt idx="12">
                  <c:v>0.29213346974975607</c:v>
                </c:pt>
                <c:pt idx="13">
                  <c:v>0.28494434668373353</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4787029"/>
        <c:axId val="44647806"/>
      </c:scatterChart>
      <c:catAx>
        <c:axId val="50139739"/>
        <c:scaling>
          <c:orientation val="maxMin"/>
        </c:scaling>
        <c:axPos val="l"/>
        <c:delete val="0"/>
        <c:numFmt formatCode="General" sourceLinked="1"/>
        <c:majorTickMark val="out"/>
        <c:minorTickMark val="none"/>
        <c:tickLblPos val="none"/>
        <c:spPr>
          <a:ln w="3175">
            <a:noFill/>
          </a:ln>
        </c:spPr>
        <c:crossAx val="48604468"/>
        <c:crosses val="autoZero"/>
        <c:auto val="1"/>
        <c:lblOffset val="100"/>
        <c:tickLblSkip val="1"/>
        <c:noMultiLvlLbl val="0"/>
      </c:catAx>
      <c:valAx>
        <c:axId val="48604468"/>
        <c:scaling>
          <c:orientation val="minMax"/>
          <c:max val="1"/>
          <c:min val="0"/>
        </c:scaling>
        <c:axPos val="t"/>
        <c:delete val="0"/>
        <c:numFmt formatCode="General" sourceLinked="1"/>
        <c:majorTickMark val="none"/>
        <c:minorTickMark val="none"/>
        <c:tickLblPos val="none"/>
        <c:spPr>
          <a:ln w="3175">
            <a:noFill/>
          </a:ln>
        </c:spPr>
        <c:crossAx val="50139739"/>
        <c:crossesAt val="1"/>
        <c:crossBetween val="between"/>
        <c:dispUnits/>
        <c:majorUnit val="1"/>
      </c:valAx>
      <c:valAx>
        <c:axId val="34787029"/>
        <c:scaling>
          <c:orientation val="minMax"/>
          <c:max val="1"/>
          <c:min val="0"/>
        </c:scaling>
        <c:axPos val="t"/>
        <c:delete val="0"/>
        <c:numFmt formatCode="General" sourceLinked="1"/>
        <c:majorTickMark val="none"/>
        <c:minorTickMark val="none"/>
        <c:tickLblPos val="none"/>
        <c:spPr>
          <a:ln w="3175">
            <a:noFill/>
          </a:ln>
        </c:spPr>
        <c:crossAx val="44647806"/>
        <c:crosses val="max"/>
        <c:crossBetween val="midCat"/>
        <c:dispUnits/>
        <c:majorUnit val="0.1"/>
        <c:minorUnit val="0.020000000000000004"/>
      </c:valAx>
      <c:valAx>
        <c:axId val="44647806"/>
        <c:scaling>
          <c:orientation val="maxMin"/>
          <c:max val="29"/>
          <c:min val="0"/>
        </c:scaling>
        <c:axPos val="l"/>
        <c:delete val="0"/>
        <c:numFmt formatCode="General" sourceLinked="1"/>
        <c:majorTickMark val="none"/>
        <c:minorTickMark val="none"/>
        <c:tickLblPos val="none"/>
        <c:spPr>
          <a:ln w="3175">
            <a:noFill/>
          </a:ln>
        </c:spPr>
        <c:crossAx val="3478702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(M83640) ALTON PRIMARY CARE CENTRE, NORTH STAFFORDSHIRE PCT (5PH)</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469</v>
      </c>
      <c r="Q3" s="65"/>
      <c r="R3" s="66"/>
      <c r="S3" s="66"/>
      <c r="T3" s="66"/>
      <c r="U3" s="66"/>
      <c r="V3" s="66"/>
      <c r="W3" s="66"/>
      <c r="X3" s="66"/>
      <c r="Y3" s="66"/>
      <c r="Z3" s="66"/>
      <c r="AA3" s="66"/>
      <c r="AB3" s="66"/>
      <c r="AC3" s="66"/>
    </row>
    <row r="4" spans="2:29" ht="18" customHeight="1">
      <c r="B4" s="319" t="s">
        <v>532</v>
      </c>
      <c r="C4" s="320"/>
      <c r="D4" s="320"/>
      <c r="E4" s="320"/>
      <c r="F4" s="320"/>
      <c r="G4" s="321"/>
      <c r="H4" s="112"/>
      <c r="I4" s="112"/>
      <c r="J4" s="112"/>
      <c r="K4" s="112"/>
      <c r="L4" s="113"/>
      <c r="M4" s="65"/>
      <c r="N4" s="65"/>
      <c r="O4" s="65"/>
      <c r="P4" s="134" t="s">
        <v>470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531</v>
      </c>
      <c r="C8" s="115"/>
      <c r="D8" s="115"/>
      <c r="E8" s="128">
        <f>VLOOKUP('Hide - Control'!A$3,'All practice data'!A:CA,4,FALSE)</f>
        <v>2138</v>
      </c>
      <c r="F8" s="310" t="str">
        <f>VLOOKUP('Hide - Control'!B4,'Hide - Calculation'!AY:BA,3,FALSE)</f>
        <v> </v>
      </c>
      <c r="G8" s="310"/>
      <c r="H8" s="310"/>
      <c r="I8" s="115"/>
      <c r="J8" s="115"/>
      <c r="K8" s="115"/>
      <c r="L8" s="115"/>
      <c r="M8" s="109"/>
      <c r="N8" s="314" t="s">
        <v>479</v>
      </c>
      <c r="O8" s="314"/>
      <c r="P8" s="314"/>
      <c r="Q8" s="314" t="s">
        <v>32</v>
      </c>
      <c r="R8" s="314"/>
      <c r="S8" s="314"/>
      <c r="T8" s="314" t="s">
        <v>535</v>
      </c>
      <c r="U8" s="314"/>
      <c r="V8" s="314" t="s">
        <v>33</v>
      </c>
      <c r="W8" s="314"/>
      <c r="X8" s="314"/>
      <c r="Y8" s="135"/>
      <c r="Z8" s="314" t="s">
        <v>472</v>
      </c>
      <c r="AA8" s="314"/>
      <c r="AB8" s="161"/>
      <c r="AC8" s="109"/>
    </row>
    <row r="9" spans="2:29" s="61" customFormat="1" ht="19.5" customHeight="1" thickBot="1">
      <c r="B9" s="114" t="s">
        <v>464</v>
      </c>
      <c r="C9" s="114"/>
      <c r="D9" s="114"/>
      <c r="E9" s="129">
        <f>VLOOKUP('Hide - Control'!B4,'Hide - Calculation'!AY:BB,4,FALSE)</f>
        <v>203178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442</v>
      </c>
      <c r="E11" s="317"/>
      <c r="F11" s="318"/>
      <c r="G11" s="263" t="s">
        <v>440</v>
      </c>
      <c r="H11" s="255" t="s">
        <v>441</v>
      </c>
      <c r="I11" s="255" t="s">
        <v>452</v>
      </c>
      <c r="J11" s="255" t="s">
        <v>453</v>
      </c>
      <c r="K11" s="255" t="s">
        <v>325</v>
      </c>
      <c r="L11" s="256" t="s">
        <v>366</v>
      </c>
      <c r="M11" s="257" t="s">
        <v>462</v>
      </c>
      <c r="N11" s="334" t="s">
        <v>460</v>
      </c>
      <c r="O11" s="334"/>
      <c r="P11" s="334"/>
      <c r="Q11" s="334"/>
      <c r="R11" s="334"/>
      <c r="S11" s="334"/>
      <c r="T11" s="334"/>
      <c r="U11" s="334"/>
      <c r="V11" s="334"/>
      <c r="W11" s="334"/>
      <c r="X11" s="334"/>
      <c r="Y11" s="334"/>
      <c r="Z11" s="334"/>
      <c r="AA11" s="258" t="s">
        <v>463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323</v>
      </c>
      <c r="C13" s="163">
        <v>1</v>
      </c>
      <c r="D13" s="312" t="s">
        <v>319</v>
      </c>
      <c r="E13" s="313"/>
      <c r="F13" s="313"/>
      <c r="G13" s="166">
        <f>IF(VLOOKUP('Hide - Control'!A$3,'All practice data'!A:CA,C13+4,FALSE)=" "," ",VLOOKUP('Hide - Control'!A$3,'All practice data'!A:CA,C13+4,FALSE))</f>
        <v>507</v>
      </c>
      <c r="H13" s="190">
        <f>IF(VLOOKUP('Hide - Control'!A$3,'All practice data'!A:CA,C13+30,FALSE)=" "," ",VLOOKUP('Hide - Control'!A$3,'All practice data'!A:CA,C13+30,FALSE))</f>
        <v>0.23713751169317118</v>
      </c>
      <c r="I13" s="191">
        <f>IF(LEFT(G13,1)=" "," n/a",+((2*G13+1.96^2-1.96*SQRT(1.96^2+4*G13*(1-G13/E$8)))/(2*(E$8+1.96^2))))</f>
        <v>0.21958982825525053</v>
      </c>
      <c r="J13" s="191">
        <f>IF(LEFT(G13,1)=" "," n/a",+((2*G13+1.96^2+1.96*SQRT(1.96^2+4*G13*(1-G13/E$8)))/(2*(E$8+1.96^2))))</f>
        <v>0.2556281337079497</v>
      </c>
      <c r="K13" s="190">
        <f>IF('Hide - Calculation'!N7="","",'Hide - Calculation'!N7)</f>
        <v>0.19682741241669865</v>
      </c>
      <c r="L13" s="192">
        <f>'Hide - Calculation'!O7</f>
        <v>0.1599882305185145</v>
      </c>
      <c r="M13" s="208">
        <f>IF(ISBLANK('Hide - Calculation'!K7),"",'Hide - Calculation'!U7)</f>
        <v>0.04957983270287514</v>
      </c>
      <c r="N13" s="173"/>
      <c r="O13" s="173"/>
      <c r="P13" s="173"/>
      <c r="Q13" s="173"/>
      <c r="R13" s="173"/>
      <c r="S13" s="173"/>
      <c r="T13" s="173"/>
      <c r="U13" s="173"/>
      <c r="V13" s="173"/>
      <c r="W13" s="173"/>
      <c r="X13" s="173"/>
      <c r="Y13" s="173"/>
      <c r="Z13" s="173"/>
      <c r="AA13" s="226">
        <f>IF(ISBLANK('Hide - Calculation'!K7),"",'Hide - Calculation'!T7)</f>
        <v>0.23713751137256622</v>
      </c>
      <c r="AB13" s="233" t="s">
        <v>529</v>
      </c>
      <c r="AC13" s="209" t="s">
        <v>530</v>
      </c>
    </row>
    <row r="14" spans="2:29" ht="33.75" customHeight="1">
      <c r="B14" s="306"/>
      <c r="C14" s="137">
        <v>2</v>
      </c>
      <c r="D14" s="132" t="s">
        <v>473</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0.07</v>
      </c>
      <c r="I14" s="120">
        <f>IF(LEFT(G14,1)=" "," n/a",+((2*H14*E8+1.96^2-1.96*SQRT(1.96^2+4*H14*E8*(1-H14*E8/E$8)))/(2*(E$8+1.96^2))))</f>
        <v>0.05993805841768196</v>
      </c>
      <c r="J14" s="120">
        <f>IF(LEFT(G14,1)=" "," n/a",+((2*H14*E8+1.96^2+1.96*SQRT(1.96^2+4*H14*E8*(1-H14*E8/E$8)))/(2*(E$8+1.96^2))))</f>
        <v>0.08160443473400582</v>
      </c>
      <c r="K14" s="119">
        <f>IF('Hide - Calculation'!N8="","",'Hide - Calculation'!N8)</f>
        <v>0.11353483152703543</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0.20000000298023224</v>
      </c>
      <c r="AB14" s="234" t="s">
        <v>39</v>
      </c>
      <c r="AC14" s="130" t="s">
        <v>530</v>
      </c>
    </row>
    <row r="15" spans="2:39" s="63" customFormat="1" ht="33.75" customHeight="1">
      <c r="B15" s="306"/>
      <c r="C15" s="137">
        <v>3</v>
      </c>
      <c r="D15" s="132" t="s">
        <v>328</v>
      </c>
      <c r="E15" s="85"/>
      <c r="F15" s="85"/>
      <c r="G15" s="121">
        <f>IF(VLOOKUP('Hide - Control'!A$3,'All practice data'!A:CA,C15+4,FALSE)=" "," ",VLOOKUP('Hide - Control'!A$3,'All practice data'!A:CA,C15+4,FALSE))</f>
        <v>14</v>
      </c>
      <c r="H15" s="122">
        <f>IF(VLOOKUP('Hide - Control'!A$3,'All practice data'!A:CA,C15+30,FALSE)=" "," ",VLOOKUP('Hide - Control'!A$3,'All practice data'!A:CA,C15+30,FALSE))</f>
        <v>654.8175865294668</v>
      </c>
      <c r="I15" s="123">
        <f>IF(LEFT(G15,1)=" "," n/a",IF(G15&lt;5,100000*VLOOKUP(G15,'Hide - Calculation'!AQ:AR,2,FALSE)/$E$8,100000*(G15*(1-1/(9*G15)-1.96/(3*SQRT(G15)))^3)/$E$8))</f>
        <v>357.69133071768954</v>
      </c>
      <c r="J15" s="123">
        <f>IF(LEFT(G15,1)=" "," n/a",IF(G15&lt;5,100000*VLOOKUP(G15,'Hide - Calculation'!AQ:AS,3,FALSE)/$E$8,100000*((G15+1)*(1-1/(9*(G15+1))+1.96/(3*SQRT(G15+1)))^3)/$E$8))</f>
        <v>1098.745831965517</v>
      </c>
      <c r="K15" s="122">
        <f>IF('Hide - Calculation'!N9="","",'Hide - Calculation'!N9)</f>
        <v>504.9759324336296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889.801513671875</v>
      </c>
      <c r="AB15" s="234" t="s">
        <v>443</v>
      </c>
      <c r="AC15" s="131">
        <v>2009</v>
      </c>
      <c r="AD15" s="64"/>
      <c r="AE15" s="64"/>
      <c r="AF15" s="64"/>
      <c r="AG15" s="64"/>
      <c r="AH15" s="64"/>
      <c r="AI15" s="64"/>
      <c r="AJ15" s="64"/>
      <c r="AK15" s="64"/>
      <c r="AL15" s="64"/>
      <c r="AM15" s="64"/>
    </row>
    <row r="16" spans="2:29" s="63" customFormat="1" ht="33.75" customHeight="1">
      <c r="B16" s="306"/>
      <c r="C16" s="137">
        <v>4</v>
      </c>
      <c r="D16" s="132" t="s">
        <v>465</v>
      </c>
      <c r="E16" s="85"/>
      <c r="F16" s="85"/>
      <c r="G16" s="121">
        <f>IF(VLOOKUP('Hide - Control'!A$3,'All practice data'!A:CA,C16+4,FALSE)=" "," ",VLOOKUP('Hide - Control'!A$3,'All practice data'!A:CA,C16+4,FALSE))</f>
        <v>6</v>
      </c>
      <c r="H16" s="122">
        <f>IF(VLOOKUP('Hide - Control'!A$3,'All practice data'!A:CA,C16+30,FALSE)=" "," ",VLOOKUP('Hide - Control'!A$3,'All practice data'!A:CA,C16+30,FALSE))</f>
        <v>280.63610851262865</v>
      </c>
      <c r="I16" s="123">
        <f>IF(LEFT(G16,1)=" "," n/a",IF(G16&lt;5,100000*VLOOKUP(G16,'Hide - Calculation'!AQ:AR,2,FALSE)/$E$8,100000*(G16*(1-1/(9*G16)-1.96/(3*SQRT(G16)))^3)/$E$8))</f>
        <v>102.47618057454066</v>
      </c>
      <c r="J16" s="123">
        <f>IF(LEFT(G16,1)=" "," n/a",IF(G16&lt;5,100000*VLOOKUP(G16,'Hide - Calculation'!AQ:AS,3,FALSE)/$E$8,100000*((G16+1)*(1-1/(9*(G16+1))+1.96/(3*SQRT(G16+1)))^3)/$E$8))</f>
        <v>610.8463642973695</v>
      </c>
      <c r="K16" s="122">
        <f>IF('Hide - Calculation'!N10="","",'Hide - Calculation'!N10)</f>
        <v>251.5036076740592</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410.6776123046875</v>
      </c>
      <c r="AB16" s="234" t="s">
        <v>322</v>
      </c>
      <c r="AC16" s="131" t="s">
        <v>498</v>
      </c>
    </row>
    <row r="17" spans="2:29" s="63" customFormat="1" ht="33.75" customHeight="1" thickBot="1">
      <c r="B17" s="309"/>
      <c r="C17" s="180">
        <v>5</v>
      </c>
      <c r="D17" s="195" t="s">
        <v>327</v>
      </c>
      <c r="E17" s="182"/>
      <c r="F17" s="182"/>
      <c r="G17" s="140">
        <f>IF(VLOOKUP('Hide - Control'!A$3,'All practice data'!A:CA,C17+4,FALSE)=" "," ",VLOOKUP('Hide - Control'!A$3,'All practice data'!A:CA,C17+4,FALSE))</f>
        <v>39</v>
      </c>
      <c r="H17" s="141">
        <f>IF(VLOOKUP('Hide - Control'!A$3,'All practice data'!A:CA,C17+30,FALSE)=" "," ",VLOOKUP('Hide - Control'!A$3,'All practice data'!A:CA,C17+30,FALSE))</f>
        <v>0.018000000000000002</v>
      </c>
      <c r="I17" s="142">
        <f>IF(LEFT(G17,1)=" "," n/a",+((2*G17+1.96^2-1.96*SQRT(1.96^2+4*G17*(1-G17/E$8)))/(2*(E$8+1.96^2))))</f>
        <v>0.013372414459795805</v>
      </c>
      <c r="J17" s="142">
        <f>IF(LEFT(G17,1)=" "," n/a",+((2*G17+1.96^2+1.96*SQRT(1.96^2+4*G17*(1-G17/E$8)))/(2*(E$8+1.96^2))))</f>
        <v>0.02483844109553564</v>
      </c>
      <c r="K17" s="141">
        <f>IF('Hide - Calculation'!N11="","",'Hide - Calculation'!N11)</f>
        <v>0.018471488054809082</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0.027000000700354576</v>
      </c>
      <c r="AB17" s="235" t="s">
        <v>466</v>
      </c>
      <c r="AC17" s="189" t="s">
        <v>498</v>
      </c>
    </row>
    <row r="18" spans="2:29" s="63" customFormat="1" ht="33.75" customHeight="1">
      <c r="B18" s="308" t="s">
        <v>13</v>
      </c>
      <c r="C18" s="163">
        <v>6</v>
      </c>
      <c r="D18" s="164" t="s">
        <v>474</v>
      </c>
      <c r="E18" s="165"/>
      <c r="F18" s="165"/>
      <c r="G18" s="219">
        <f>IF(OR(VLOOKUP('Hide - Control'!A$3,'All practice data'!A:CA,C18+4,FALSE)=" ",VLOOKUP('Hide - Control'!A$3,'All practice data'!A:CA,C18+52,FALSE)=0)," n/a",VLOOKUP('Hide - Control'!A$3,'All practice data'!A:CA,C18+4,FALSE))</f>
        <v>243</v>
      </c>
      <c r="H18" s="220">
        <f>IF(OR(VLOOKUP('Hide - Control'!A$3,'All practice data'!A:CA,C18+30,FALSE)=" ",VLOOKUP('Hide - Control'!A$3,'All practice data'!A:CA,C18+52,FALSE)=0)," n/a",VLOOKUP('Hide - Control'!A$3,'All practice data'!A:CA,C18+30,FALSE))</f>
        <v>0.721068</v>
      </c>
      <c r="I18" s="191">
        <f>IF(OR(LEFT(H18,1)=" ",VLOOKUP('Hide - Control'!A$3,'All practice data'!A:CA,C18+52,FALSE)=0)," n/a",+((2*G18+1.96^2-1.96*SQRT(1.96^2+4*G18*(1-G18/(VLOOKUP('Hide - Control'!A$3,'All practice data'!A:CA,C18+52,FALSE)))))/(2*(((VLOOKUP('Hide - Control'!A$3,'All practice data'!A:CA,C18+52,FALSE)))+1.96^2))))</f>
        <v>0.6708993975802501</v>
      </c>
      <c r="J18" s="191">
        <f>IF(OR(LEFT(H18,1)=" ",VLOOKUP('Hide - Control'!A$3,'All practice data'!A:CA,C18+52,FALSE)=0)," n/a",+((2*G18+1.96^2+1.96*SQRT(1.96^2+4*G18*(1-G18/(VLOOKUP('Hide - Control'!A$3,'All practice data'!A:CA,C18+52,FALSE)))))/(2*((VLOOKUP('Hide - Control'!A$3,'All practice data'!A:CA,C18+52,FALSE))+1.96^2))))</f>
        <v>0.7662538137648438</v>
      </c>
      <c r="K18" s="220">
        <f>IF('Hide - Calculation'!N12="","",'Hide - Calculation'!N12)</f>
        <v>0.7444722719141323</v>
      </c>
      <c r="L18" s="192">
        <f>'Hide - Calculation'!O12</f>
        <v>0.7248631360507991</v>
      </c>
      <c r="M18" s="193">
        <f>IF(ISBLANK('Hide - Calculation'!K12),"",'Hide - Calculation'!U12)</f>
        <v>0.5699149966239929</v>
      </c>
      <c r="N18" s="194"/>
      <c r="O18" s="173"/>
      <c r="P18" s="173"/>
      <c r="Q18" s="173"/>
      <c r="R18" s="173"/>
      <c r="S18" s="173"/>
      <c r="T18" s="173"/>
      <c r="U18" s="173"/>
      <c r="V18" s="173"/>
      <c r="W18" s="173"/>
      <c r="X18" s="173"/>
      <c r="Y18" s="173"/>
      <c r="Z18" s="174"/>
      <c r="AA18" s="193">
        <f>IF(ISBLANK('Hide - Calculation'!K12),"",'Hide - Calculation'!T12)</f>
        <v>0.8057889938354492</v>
      </c>
      <c r="AB18" s="233" t="s">
        <v>48</v>
      </c>
      <c r="AC18" s="175" t="s">
        <v>499</v>
      </c>
    </row>
    <row r="19" spans="2:29" s="63" customFormat="1" ht="33.75" customHeight="1">
      <c r="B19" s="306"/>
      <c r="C19" s="137">
        <v>7</v>
      </c>
      <c r="D19" s="132" t="s">
        <v>475</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0.76548769771529</v>
      </c>
      <c r="L19" s="155">
        <f>'Hide - Calculation'!O13</f>
        <v>0.7467412166569077</v>
      </c>
      <c r="M19" s="152">
        <f>IF(ISBLANK('Hide - Calculation'!K13),"",'Hide - Calculation'!U13)</f>
        <v>0.33333298563957214</v>
      </c>
      <c r="N19" s="160"/>
      <c r="O19" s="84"/>
      <c r="P19" s="84"/>
      <c r="Q19" s="84"/>
      <c r="R19" s="84"/>
      <c r="S19" s="84"/>
      <c r="T19" s="84"/>
      <c r="U19" s="84"/>
      <c r="V19" s="84"/>
      <c r="W19" s="84"/>
      <c r="X19" s="84"/>
      <c r="Y19" s="84"/>
      <c r="Z19" s="88"/>
      <c r="AA19" s="152">
        <f>IF(ISBLANK('Hide - Calculation'!K13),"",'Hide - Calculation'!T13)</f>
        <v>1</v>
      </c>
      <c r="AB19" s="234" t="s">
        <v>48</v>
      </c>
      <c r="AC19" s="131" t="s">
        <v>498</v>
      </c>
    </row>
    <row r="20" spans="2:29" s="63" customFormat="1" ht="33.75" customHeight="1">
      <c r="B20" s="306"/>
      <c r="C20" s="137">
        <v>8</v>
      </c>
      <c r="D20" s="132" t="s">
        <v>476</v>
      </c>
      <c r="E20" s="85"/>
      <c r="F20" s="85"/>
      <c r="G20" s="221">
        <f>IF(OR(VLOOKUP('Hide - Control'!A$3,'All practice data'!A:CA,C20+4,FALSE)=" ",VLOOKUP('Hide - Control'!A$3,'All practice data'!A:CA,C20+52,FALSE)=0)," n/a",VLOOKUP('Hide - Control'!A$3,'All practice data'!A:CA,C20+4,FALSE))</f>
        <v>424</v>
      </c>
      <c r="H20" s="218">
        <f>IF(OR(VLOOKUP('Hide - Control'!A$3,'All practice data'!A:CA,C20+30,FALSE)=" ",VLOOKUP('Hide - Control'!A$3,'All practice data'!A:CA,C20+52,FALSE)=0)," n/a",VLOOKUP('Hide - Control'!A$3,'All practice data'!A:CA,C20+30,FALSE))</f>
        <v>0.810707</v>
      </c>
      <c r="I20" s="120">
        <f>IF(OR(LEFT(H20,1)=" ",VLOOKUP('Hide - Control'!A$3,'All practice data'!A:CA,C20+52,FALSE)=0)," n/a",+((2*G20+1.96^2-1.96*SQRT(1.96^2+4*G20*(1-G20/(VLOOKUP('Hide - Control'!A$3,'All practice data'!A:CA,C20+52,FALSE)))))/(2*(((VLOOKUP('Hide - Control'!A$3,'All practice data'!A:CA,C20+52,FALSE)))+1.96^2))))</f>
        <v>0.7749137749063103</v>
      </c>
      <c r="J20" s="120">
        <f>IF(OR(LEFT(H20,1)=" ",VLOOKUP('Hide - Control'!A$3,'All practice data'!A:CA,C20+52,FALSE)=0)," n/a",+((2*G20+1.96^2+1.96*SQRT(1.96^2+4*G20*(1-G20/(VLOOKUP('Hide - Control'!A$3,'All practice data'!A:CA,C20+52,FALSE)))))/(2*((VLOOKUP('Hide - Control'!A$3,'All practice data'!A:CA,C20+52,FALSE))+1.96^2))))</f>
        <v>0.84196993359355</v>
      </c>
      <c r="K20" s="218">
        <f>IF('Hide - Calculation'!N14="","",'Hide - Calculation'!N14)</f>
        <v>0.7882457415031888</v>
      </c>
      <c r="L20" s="155">
        <f>'Hide - Calculation'!O14</f>
        <v>0.7559681673907895</v>
      </c>
      <c r="M20" s="152">
        <f>IF(ISBLANK('Hide - Calculation'!K14),"",'Hide - Calculation'!U14)</f>
        <v>0.6824280023574829</v>
      </c>
      <c r="N20" s="160"/>
      <c r="O20" s="84"/>
      <c r="P20" s="84"/>
      <c r="Q20" s="84"/>
      <c r="R20" s="84"/>
      <c r="S20" s="84"/>
      <c r="T20" s="84"/>
      <c r="U20" s="84"/>
      <c r="V20" s="84"/>
      <c r="W20" s="84"/>
      <c r="X20" s="84"/>
      <c r="Y20" s="84"/>
      <c r="Z20" s="88"/>
      <c r="AA20" s="152">
        <f>IF(ISBLANK('Hide - Calculation'!K14),"",'Hide - Calculation'!T14)</f>
        <v>0.8464620113372803</v>
      </c>
      <c r="AB20" s="234" t="s">
        <v>48</v>
      </c>
      <c r="AC20" s="131" t="s">
        <v>500</v>
      </c>
    </row>
    <row r="21" spans="2:29" s="63" customFormat="1" ht="33.75" customHeight="1">
      <c r="B21" s="306"/>
      <c r="C21" s="137">
        <v>9</v>
      </c>
      <c r="D21" s="132" t="s">
        <v>477</v>
      </c>
      <c r="E21" s="85"/>
      <c r="F21" s="85"/>
      <c r="G21" s="221">
        <f>IF(OR(VLOOKUP('Hide - Control'!A$3,'All practice data'!A:CA,C21+4,FALSE)=" ",VLOOKUP('Hide - Control'!A$3,'All practice data'!A:CA,C21+52,FALSE)=0)," n/a",VLOOKUP('Hide - Control'!A$3,'All practice data'!A:CA,C21+4,FALSE))</f>
        <v>221</v>
      </c>
      <c r="H21" s="218">
        <f>IF(OR(VLOOKUP('Hide - Control'!A$3,'All practice data'!A:CA,C21+30,FALSE)=" ",VLOOKUP('Hide - Control'!A$3,'All practice data'!A:CA,C21+52,FALSE)=0)," n/a",VLOOKUP('Hide - Control'!A$3,'All practice data'!A:CA,C21+30,FALSE))</f>
        <v>0.600543</v>
      </c>
      <c r="I21" s="120">
        <f>IF(OR(LEFT(H21,1)=" ",VLOOKUP('Hide - Control'!A$3,'All practice data'!A:CA,C21+52,FALSE)=0)," n/a",+((2*G21+1.96^2-1.96*SQRT(1.96^2+4*G21*(1-G21/(VLOOKUP('Hide - Control'!A$3,'All practice data'!A:CA,C21+52,FALSE)))))/(2*(((VLOOKUP('Hide - Control'!A$3,'All practice data'!A:CA,C21+52,FALSE)))+1.96^2))))</f>
        <v>0.549710555236511</v>
      </c>
      <c r="J21" s="120">
        <f>IF(OR(LEFT(H21,1)=" ",VLOOKUP('Hide - Control'!A$3,'All practice data'!A:CA,C21+52,FALSE)=0)," n/a",+((2*G21+1.96^2+1.96*SQRT(1.96^2+4*G21*(1-G21/(VLOOKUP('Hide - Control'!A$3,'All practice data'!A:CA,C21+52,FALSE)))))/(2*((VLOOKUP('Hide - Control'!A$3,'All practice data'!A:CA,C21+52,FALSE))+1.96^2))))</f>
        <v>0.6492989154628406</v>
      </c>
      <c r="K21" s="218">
        <f>IF('Hide - Calculation'!N15="","",'Hide - Calculation'!N15)</f>
        <v>0.5737026777469991</v>
      </c>
      <c r="L21" s="155">
        <f>'Hide - Calculation'!O15</f>
        <v>0.5147293797466616</v>
      </c>
      <c r="M21" s="152">
        <f>IF(ISBLANK('Hide - Calculation'!K15),"",'Hide - Calculation'!U15)</f>
        <v>0.4489800035953522</v>
      </c>
      <c r="N21" s="160"/>
      <c r="O21" s="84"/>
      <c r="P21" s="84"/>
      <c r="Q21" s="84"/>
      <c r="R21" s="84"/>
      <c r="S21" s="84"/>
      <c r="T21" s="84"/>
      <c r="U21" s="84"/>
      <c r="V21" s="84"/>
      <c r="W21" s="84"/>
      <c r="X21" s="84"/>
      <c r="Y21" s="84"/>
      <c r="Z21" s="88"/>
      <c r="AA21" s="152">
        <f>IF(ISBLANK('Hide - Calculation'!K15),"",'Hide - Calculation'!T15)</f>
        <v>0.658070981502533</v>
      </c>
      <c r="AB21" s="234" t="s">
        <v>48</v>
      </c>
      <c r="AC21" s="131" t="s">
        <v>499</v>
      </c>
    </row>
    <row r="22" spans="2:29" s="63" customFormat="1" ht="33.75" customHeight="1" thickBot="1">
      <c r="B22" s="309"/>
      <c r="C22" s="180">
        <v>10</v>
      </c>
      <c r="D22" s="195" t="s">
        <v>478</v>
      </c>
      <c r="E22" s="182"/>
      <c r="F22" s="182"/>
      <c r="G22" s="222">
        <f>IF(OR(VLOOKUP('Hide - Control'!A$3,'All practice data'!A:CA,C22+4,FALSE)=" ",VLOOKUP('Hide - Control'!A$3,'All practice data'!A:CA,C22+52,FALSE)=0)," n/a",VLOOKUP('Hide - Control'!A$3,'All practice data'!A:CA,C22+4,FALSE))</f>
        <v>108</v>
      </c>
      <c r="H22" s="223">
        <f>IF(OR(VLOOKUP('Hide - Control'!A$3,'All practice data'!A:CA,C22+30,FALSE)=" ",VLOOKUP('Hide - Control'!A$3,'All practice data'!A:CA,C22+52,FALSE)=0)," n/a",VLOOKUP('Hide - Control'!A$3,'All practice data'!A:CA,C22+30,FALSE))</f>
        <v>0.705882</v>
      </c>
      <c r="I22" s="196">
        <f>IF(OR(LEFT(H22,1)=" ",VLOOKUP('Hide - Control'!A$3,'All practice data'!A:CA,C22+52,FALSE)=0)," n/a",+((2*G22+1.96^2-1.96*SQRT(1.96^2+4*G22*(1-G22/(VLOOKUP('Hide - Control'!A$3,'All practice data'!A:CA,C22+52,FALSE)))))/(2*(((VLOOKUP('Hide - Control'!A$3,'All practice data'!A:CA,C22+52,FALSE)))+1.96^2))))</f>
        <v>0.6293512126180159</v>
      </c>
      <c r="J22" s="196">
        <f>IF(OR(LEFT(H22,1)=" ",VLOOKUP('Hide - Control'!A$3,'All practice data'!A:CA,C22+52,FALSE)=0)," n/a",+((2*G22+1.96^2+1.96*SQRT(1.96^2+4*G22*(1-G22/(VLOOKUP('Hide - Control'!A$3,'All practice data'!A:CA,C22+52,FALSE)))))/(2*((VLOOKUP('Hide - Control'!A$3,'All practice data'!A:CA,C22+52,FALSE))+1.96^2))))</f>
        <v>0.772327933730912</v>
      </c>
      <c r="K22" s="223">
        <f>IF('Hide - Calculation'!N16="","",'Hide - Calculation'!N16)</f>
        <v>0.6174859048677837</v>
      </c>
      <c r="L22" s="197">
        <f>'Hide - Calculation'!O16</f>
        <v>0.5752927626212945</v>
      </c>
      <c r="M22" s="198">
        <f>IF(ISBLANK('Hide - Calculation'!K16),"",'Hide - Calculation'!U16)</f>
        <v>0.415583997964859</v>
      </c>
      <c r="N22" s="199"/>
      <c r="O22" s="91"/>
      <c r="P22" s="91"/>
      <c r="Q22" s="91"/>
      <c r="R22" s="91"/>
      <c r="S22" s="91"/>
      <c r="T22" s="91"/>
      <c r="U22" s="91"/>
      <c r="V22" s="91"/>
      <c r="W22" s="91"/>
      <c r="X22" s="91"/>
      <c r="Y22" s="91"/>
      <c r="Z22" s="188"/>
      <c r="AA22" s="198">
        <f>IF(ISBLANK('Hide - Calculation'!K16),"",'Hide - Calculation'!T16)</f>
        <v>0.7058820128440857</v>
      </c>
      <c r="AB22" s="235" t="s">
        <v>48</v>
      </c>
      <c r="AC22" s="189" t="s">
        <v>498</v>
      </c>
    </row>
    <row r="23" spans="2:29" s="63" customFormat="1" ht="33.75" customHeight="1">
      <c r="B23" s="308" t="s">
        <v>317</v>
      </c>
      <c r="C23" s="163">
        <v>11</v>
      </c>
      <c r="D23" s="179" t="s">
        <v>329</v>
      </c>
      <c r="E23" s="165"/>
      <c r="F23" s="165"/>
      <c r="G23" s="118">
        <f>IF(VLOOKUP('Hide - Control'!A$3,'All practice data'!A:CA,C23+4,FALSE)=" "," ",VLOOKUP('Hide - Control'!A$3,'All practice data'!A:CA,C23+4,FALSE))</f>
        <v>29</v>
      </c>
      <c r="H23" s="216">
        <f>IF(VLOOKUP('Hide - Control'!A$3,'All practice data'!A:CA,C23+30,FALSE)=" "," ",VLOOKUP('Hide - Control'!A$3,'All practice data'!A:CA,C23+30,FALSE))</f>
        <v>1356.4078578110384</v>
      </c>
      <c r="I23" s="215">
        <f>IF(LEFT(G23,1)=" "," n/a",IF(G23&lt;5,100000*VLOOKUP(G23,'Hide - Calculation'!AQ:AR,2,FALSE)/$E$8,100000*(G23*(1-1/(9*G23)-1.96/(3*SQRT(G23)))^3)/$E$8))</f>
        <v>908.2126634830167</v>
      </c>
      <c r="J23" s="215">
        <f>IF(LEFT(G23,1)=" "," n/a",IF(G23&lt;5,100000*VLOOKUP(G23,'Hide - Calculation'!AQ:AS,3,FALSE)/$E$8,100000*((G23+1)*(1-1/(9*(G23+1))+1.96/(3*SQRT(G23+1)))^3)/$E$8))</f>
        <v>1948.1100696722676</v>
      </c>
      <c r="K23" s="216">
        <f>IF('Hide - Calculation'!N17="","",'Hide - Calculation'!N17)</f>
        <v>2460.4041776176555</v>
      </c>
      <c r="L23" s="217">
        <f>'Hide - Calculation'!O17</f>
        <v>1812.1669120472948</v>
      </c>
      <c r="M23" s="170">
        <f>IF(ISBLANK('Hide - Calculation'!K17),"",'Hide - Calculation'!U17)</f>
        <v>1020.6448364257812</v>
      </c>
      <c r="N23" s="171"/>
      <c r="O23" s="172"/>
      <c r="P23" s="172"/>
      <c r="Q23" s="172"/>
      <c r="R23" s="173"/>
      <c r="S23" s="173"/>
      <c r="T23" s="173"/>
      <c r="U23" s="173"/>
      <c r="V23" s="173"/>
      <c r="W23" s="173"/>
      <c r="X23" s="173"/>
      <c r="Y23" s="173"/>
      <c r="Z23" s="174"/>
      <c r="AA23" s="170">
        <f>IF(ISBLANK('Hide - Calculation'!K17),"",'Hide - Calculation'!T17)</f>
        <v>4216.77587890625</v>
      </c>
      <c r="AB23" s="233" t="s">
        <v>26</v>
      </c>
      <c r="AC23" s="175" t="s">
        <v>498</v>
      </c>
    </row>
    <row r="24" spans="2:29" s="63" customFormat="1" ht="33.75" customHeight="1">
      <c r="B24" s="306"/>
      <c r="C24" s="137">
        <v>12</v>
      </c>
      <c r="D24" s="147" t="s">
        <v>484</v>
      </c>
      <c r="E24" s="85"/>
      <c r="F24" s="85"/>
      <c r="G24" s="118">
        <f>IF(VLOOKUP('Hide - Control'!A$3,'All practice data'!A:CA,C24+4,FALSE)=" "," ",VLOOKUP('Hide - Control'!A$3,'All practice data'!A:CA,C24+4,FALSE))</f>
        <v>29</v>
      </c>
      <c r="H24" s="119">
        <f>IF(VLOOKUP('Hide - Control'!A$3,'All practice data'!A:CA,C24+30,FALSE)=" "," ",VLOOKUP('Hide - Control'!A$3,'All practice data'!A:CA,C24+30,FALSE))</f>
        <v>0.5953153609999999</v>
      </c>
      <c r="I24" s="212">
        <f>IF(LEFT(VLOOKUP('Hide - Control'!A$3,'All practice data'!A:CA,C24+44,FALSE),1)=" "," n/a",VLOOKUP('Hide - Control'!A$3,'All practice data'!A:CA,C24+44,FALSE))</f>
        <v>0.39869201660000003</v>
      </c>
      <c r="J24" s="212">
        <f>IF(LEFT(VLOOKUP('Hide - Control'!A$3,'All practice data'!A:CA,C24+45,FALSE),1)=" "," n/a",VLOOKUP('Hide - Control'!A$3,'All practice data'!A:CA,C24+45,FALSE))</f>
        <v>0.8549721526999999</v>
      </c>
      <c r="K24" s="152" t="s">
        <v>534</v>
      </c>
      <c r="L24" s="213">
        <v>1</v>
      </c>
      <c r="M24" s="152">
        <f>IF(ISBLANK('Hide - Calculation'!K18),"",'Hide - Calculation'!U18)</f>
        <v>0.5953153371810913</v>
      </c>
      <c r="N24" s="86"/>
      <c r="O24" s="87"/>
      <c r="P24" s="87"/>
      <c r="Q24" s="87"/>
      <c r="R24" s="84"/>
      <c r="S24" s="84"/>
      <c r="T24" s="84"/>
      <c r="U24" s="84"/>
      <c r="V24" s="84"/>
      <c r="W24" s="84"/>
      <c r="X24" s="84"/>
      <c r="Y24" s="84"/>
      <c r="Z24" s="88"/>
      <c r="AA24" s="152">
        <f>IF(ISBLANK('Hide - Calculation'!K18),"",'Hide - Calculation'!T18)</f>
        <v>1.9408835172653198</v>
      </c>
      <c r="AB24" s="234" t="s">
        <v>26</v>
      </c>
      <c r="AC24" s="131" t="s">
        <v>498</v>
      </c>
    </row>
    <row r="25" spans="2:29" s="63" customFormat="1" ht="33.75" customHeight="1">
      <c r="B25" s="306"/>
      <c r="C25" s="137">
        <v>13</v>
      </c>
      <c r="D25" s="147" t="s">
        <v>324</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0.11802360472094418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0.20454545319080353</v>
      </c>
      <c r="AB25" s="234" t="s">
        <v>26</v>
      </c>
      <c r="AC25" s="131" t="s">
        <v>498</v>
      </c>
    </row>
    <row r="26" spans="2:29" s="63" customFormat="1" ht="33.75" customHeight="1">
      <c r="B26" s="306"/>
      <c r="C26" s="137">
        <v>14</v>
      </c>
      <c r="D26" s="147" t="s">
        <v>467</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0.5397987191216834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0.8999999761581421</v>
      </c>
      <c r="AB26" s="234" t="s">
        <v>26</v>
      </c>
      <c r="AC26" s="131" t="s">
        <v>498</v>
      </c>
    </row>
    <row r="27" spans="2:29" s="63" customFormat="1" ht="33.75" customHeight="1">
      <c r="B27" s="306"/>
      <c r="C27" s="137">
        <v>15</v>
      </c>
      <c r="D27" s="147" t="s">
        <v>454</v>
      </c>
      <c r="E27" s="85"/>
      <c r="F27" s="85"/>
      <c r="G27" s="121">
        <f>IF(VLOOKUP('Hide - Control'!A$3,'All practice data'!A:CA,C27+4,FALSE)=" "," ",VLOOKUP('Hide - Control'!A$3,'All practice data'!A:CA,C27+4,FALSE))</f>
        <v>8</v>
      </c>
      <c r="H27" s="122">
        <f>IF(VLOOKUP('Hide - Control'!A$3,'All practice data'!A:CA,C27+30,FALSE)=" "," ",VLOOKUP('Hide - Control'!A$3,'All practice data'!A:CA,C27+30,FALSE))</f>
        <v>374.1814780168382</v>
      </c>
      <c r="I27" s="123">
        <f>IF(LEFT(G27,1)=" "," n/a",IF(G27&lt;5,100000*VLOOKUP(G27,'Hide - Calculation'!AQ:AR,2,FALSE)/$E$8,100000*(G27*(1-1/(9*G27)-1.96/(3*SQRT(G27)))^3)/$E$8))</f>
        <v>161.11471298689028</v>
      </c>
      <c r="J27" s="123">
        <f>IF(LEFT(G27,1)=" "," n/a",IF(G27&lt;5,100000*VLOOKUP(G27,'Hide - Calculation'!AQ:AS,3,FALSE)/$E$8,100000*((G27+1)*(1-1/(9*(G27+1))+1.96/(3*SQRT(G27+1)))^3)/$E$8))</f>
        <v>737.331968754969</v>
      </c>
      <c r="K27" s="122">
        <f>IF('Hide - Calculation'!N21="","",'Hide - Calculation'!N21)</f>
        <v>352.4003583065096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629.9212646484375</v>
      </c>
      <c r="AB27" s="234" t="s">
        <v>26</v>
      </c>
      <c r="AC27" s="131" t="s">
        <v>498</v>
      </c>
    </row>
    <row r="28" spans="2:29" s="63" customFormat="1" ht="33.75" customHeight="1">
      <c r="B28" s="306"/>
      <c r="C28" s="137">
        <v>16</v>
      </c>
      <c r="D28" s="147" t="s">
        <v>455</v>
      </c>
      <c r="E28" s="85"/>
      <c r="F28" s="85"/>
      <c r="G28" s="121">
        <f>IF(VLOOKUP('Hide - Control'!A$3,'All practice data'!A:CA,C28+4,FALSE)=" "," ",VLOOKUP('Hide - Control'!A$3,'All practice data'!A:CA,C28+4,FALSE))</f>
        <v>7</v>
      </c>
      <c r="H28" s="122">
        <f>IF(VLOOKUP('Hide - Control'!A$3,'All practice data'!A:CA,C28+30,FALSE)=" "," ",VLOOKUP('Hide - Control'!A$3,'All practice data'!A:CA,C28+30,FALSE))</f>
        <v>327.4087932647334</v>
      </c>
      <c r="I28" s="123">
        <f>IF(LEFT(G28,1)=" "," n/a",IF(G28&lt;5,100000*VLOOKUP(G28,'Hide - Calculation'!AQ:AR,2,FALSE)/$E$8,100000*(G28*(1-1/(9*G28)-1.96/(3*SQRT(G28)))^3)/$E$8))</f>
        <v>131.16833024220853</v>
      </c>
      <c r="J28" s="123">
        <f>IF(LEFT(G28,1)=" "," n/a",IF(G28&lt;5,100000*VLOOKUP(G28,'Hide - Calculation'!AQ:AS,3,FALSE)/$E$8,100000*((G28+1)*(1-1/(9*(G28+1))+1.96/(3*SQRT(G28+1)))^3)/$E$8))</f>
        <v>674.6217707337773</v>
      </c>
      <c r="K28" s="122">
        <f>IF('Hide - Calculation'!N22="","",'Hide - Calculation'!N22)</f>
        <v>431.64122099833645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915.9906005859375</v>
      </c>
      <c r="AB28" s="234" t="s">
        <v>26</v>
      </c>
      <c r="AC28" s="131" t="s">
        <v>498</v>
      </c>
    </row>
    <row r="29" spans="2:29" s="63" customFormat="1" ht="33.75" customHeight="1">
      <c r="B29" s="306"/>
      <c r="C29" s="137">
        <v>17</v>
      </c>
      <c r="D29" s="147" t="s">
        <v>456</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93.02188229040546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209.26339721679688</v>
      </c>
      <c r="AB29" s="234" t="s">
        <v>26</v>
      </c>
      <c r="AC29" s="131" t="s">
        <v>498</v>
      </c>
    </row>
    <row r="30" spans="2:29" s="63" customFormat="1" ht="33.75" customHeight="1" thickBot="1">
      <c r="B30" s="309"/>
      <c r="C30" s="180">
        <v>18</v>
      </c>
      <c r="D30" s="181" t="s">
        <v>457</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420.8132770280247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1035.1651611328125</v>
      </c>
      <c r="AB30" s="235" t="s">
        <v>26</v>
      </c>
      <c r="AC30" s="189" t="s">
        <v>498</v>
      </c>
    </row>
    <row r="31" spans="2:29" s="63" customFormat="1" ht="33.75" customHeight="1">
      <c r="B31" s="304" t="s">
        <v>326</v>
      </c>
      <c r="C31" s="163">
        <v>19</v>
      </c>
      <c r="D31" s="164" t="s">
        <v>330</v>
      </c>
      <c r="E31" s="165"/>
      <c r="F31" s="165"/>
      <c r="G31" s="166">
        <f>IF(VLOOKUP('Hide - Control'!A$3,'All practice data'!A:CA,C31+4,FALSE)=" "," ",VLOOKUP('Hide - Control'!A$3,'All practice data'!A:CA,C31+4,FALSE))</f>
        <v>15</v>
      </c>
      <c r="H31" s="167">
        <f>IF(VLOOKUP('Hide - Control'!A$3,'All practice data'!A:CA,C31+30,FALSE)=" "," ",VLOOKUP('Hide - Control'!A$3,'All practice data'!A:CA,C31+30,FALSE))</f>
        <v>701.5902712815715</v>
      </c>
      <c r="I31" s="168">
        <f>IF(LEFT(G31,1)=" "," n/a",IF(G31&lt;5,100000*VLOOKUP(G31,'Hide - Calculation'!AQ:AR,2,FALSE)/$E$8,100000*(G31*(1-1/(9*G31)-1.96/(3*SQRT(G31)))^3)/$E$8))</f>
        <v>392.3839722507685</v>
      </c>
      <c r="J31" s="168">
        <f>IF(LEFT(G31,1)=" "," n/a",IF(G31&lt;5,100000*VLOOKUP(G31,'Hide - Calculation'!AQ:AS,3,FALSE)/$E$8,100000*((G31+1)*(1-1/(9*(G31+1))+1.96/(3*SQRT(G31+1)))^3)/$E$8))</f>
        <v>1157.2415335505796</v>
      </c>
      <c r="K31" s="167">
        <f>IF('Hide - Calculation'!N25="","",'Hide - Calculation'!N25)</f>
        <v>534.5066887162981</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1125.35986328125</v>
      </c>
      <c r="AB31" s="233" t="s">
        <v>47</v>
      </c>
      <c r="AC31" s="175" t="s">
        <v>498</v>
      </c>
    </row>
    <row r="32" spans="2:29" s="63" customFormat="1" ht="33.75" customHeight="1">
      <c r="B32" s="305"/>
      <c r="C32" s="137">
        <v>20</v>
      </c>
      <c r="D32" s="132" t="s">
        <v>331</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320.9008849383299</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547.5701293945312</v>
      </c>
      <c r="AB32" s="234" t="s">
        <v>47</v>
      </c>
      <c r="AC32" s="131" t="s">
        <v>498</v>
      </c>
    </row>
    <row r="33" spans="2:29" s="63" customFormat="1" ht="33.75" customHeight="1">
      <c r="B33" s="305"/>
      <c r="C33" s="137">
        <v>21</v>
      </c>
      <c r="D33" s="132" t="s">
        <v>333</v>
      </c>
      <c r="E33" s="85"/>
      <c r="F33" s="85"/>
      <c r="G33" s="121">
        <f>IF(VLOOKUP('Hide - Control'!A$3,'All practice data'!A:CA,C33+4,FALSE)=" "," ",VLOOKUP('Hide - Control'!A$3,'All practice data'!A:CA,C33+4,FALSE))</f>
        <v>16</v>
      </c>
      <c r="H33" s="122">
        <f>IF(VLOOKUP('Hide - Control'!A$3,'All practice data'!A:CA,C33+30,FALSE)=" "," ",VLOOKUP('Hide - Control'!A$3,'All practice data'!A:CA,C33+30,FALSE))</f>
        <v>748.3629560336764</v>
      </c>
      <c r="I33" s="123">
        <f>IF(LEFT(G33,1)=" "," n/a",IF(G33&lt;5,100000*VLOOKUP(G33,'Hide - Calculation'!AQ:AR,2,FALSE)/$E$8,100000*(G33*(1-1/(9*G33)-1.96/(3*SQRT(G33)))^3)/$E$8))</f>
        <v>427.4747306079424</v>
      </c>
      <c r="J33" s="123">
        <f>IF(LEFT(G33,1)=" "," n/a",IF(G33&lt;5,100000*VLOOKUP(G33,'Hide - Calculation'!AQ:AS,3,FALSE)/$E$8,100000*((G33+1)*(1-1/(9*(G33+1))+1.96/(3*SQRT(G33+1)))^3)/$E$8))</f>
        <v>1215.3711522662252</v>
      </c>
      <c r="K33" s="122">
        <f>IF('Hide - Calculation'!N27="","",'Hide - Calculation'!N27)</f>
        <v>1069.5055567039738</v>
      </c>
      <c r="L33" s="156">
        <f>'Hide - Calculation'!O27</f>
        <v>1059.3522061277838</v>
      </c>
      <c r="M33" s="148">
        <f>IF(ISBLANK('Hide - Calculation'!K27),"",'Hide - Calculation'!U27)</f>
        <v>696.324951171875</v>
      </c>
      <c r="N33" s="86"/>
      <c r="O33" s="87"/>
      <c r="P33" s="87"/>
      <c r="Q33" s="87"/>
      <c r="R33" s="84"/>
      <c r="S33" s="84"/>
      <c r="T33" s="84"/>
      <c r="U33" s="84"/>
      <c r="V33" s="84"/>
      <c r="W33" s="84"/>
      <c r="X33" s="84"/>
      <c r="Y33" s="84"/>
      <c r="Z33" s="88"/>
      <c r="AA33" s="148">
        <f>IF(ISBLANK('Hide - Calculation'!K27),"",'Hide - Calculation'!T27)</f>
        <v>1711.15673828125</v>
      </c>
      <c r="AB33" s="234" t="s">
        <v>47</v>
      </c>
      <c r="AC33" s="131" t="s">
        <v>498</v>
      </c>
    </row>
    <row r="34" spans="2:29" s="63" customFormat="1" ht="33.75" customHeight="1">
      <c r="B34" s="305"/>
      <c r="C34" s="137">
        <v>22</v>
      </c>
      <c r="D34" s="132" t="s">
        <v>332</v>
      </c>
      <c r="E34" s="85"/>
      <c r="F34" s="85"/>
      <c r="G34" s="118" t="str">
        <f>IF(VLOOKUP('Hide - Control'!A$3,'All practice data'!A:CA,C34+4,FALSE)=" "," ",VLOOKUP('Hide - Control'!A$3,'All practice data'!A:CA,C34+4,FALSE))</f>
        <v> Removed</v>
      </c>
      <c r="H34" s="122" t="str">
        <f>IF(VLOOKUP('Hide - Control'!A$3,'All practice data'!A:CA,C34+30,FALSE)=" "," ",VLOOKUP('Hide - Control'!A$3,'All practice data'!A:CA,C34+30,FALSE))</f>
        <v> Removed</v>
      </c>
      <c r="I34" s="123" t="str">
        <f>IF(LEFT(G34,1)=" "," n/a",IF(G34&lt;5,100000*VLOOKUP(G34,'Hide - Calculation'!AQ:AR,2,FALSE)/$E$8,100000*(G34*(1-1/(9*G34)-1.96/(3*SQRT(G34)))^3)/$E$8))</f>
        <v> n/a</v>
      </c>
      <c r="J34" s="123" t="str">
        <f>IF(LEFT(G34,1)=" "," n/a",IF(G34&lt;5,100000*VLOOKUP(G34,'Hide - Calculation'!AQ:AS,3,FALSE)/$E$8,100000*((G34+1)*(1-1/(9*(G34+1))+1.96/(3*SQRT(G34+1)))^3)/$E$8))</f>
        <v> n/a</v>
      </c>
      <c r="K34" s="122">
        <f>IF('Hide - Calculation'!N28="","",'Hide - Calculation'!N28)</f>
        <v>532.045792359409</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1026.694091796875</v>
      </c>
      <c r="AB34" s="234" t="s">
        <v>47</v>
      </c>
      <c r="AC34" s="131" t="s">
        <v>498</v>
      </c>
    </row>
    <row r="35" spans="2:29" s="63" customFormat="1" ht="33.75" customHeight="1">
      <c r="B35" s="305"/>
      <c r="C35" s="137">
        <v>23</v>
      </c>
      <c r="D35" s="138" t="s">
        <v>458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318</v>
      </c>
      <c r="AC35" s="131">
        <v>2008</v>
      </c>
    </row>
    <row r="36" spans="2:29" ht="33.75" customHeight="1">
      <c r="B36" s="306"/>
      <c r="C36" s="137">
        <v>24</v>
      </c>
      <c r="D36" s="224" t="s">
        <v>459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318</v>
      </c>
      <c r="AC36" s="131">
        <v>2008</v>
      </c>
    </row>
    <row r="37" spans="2:29" ht="33.75" customHeight="1" thickBot="1">
      <c r="B37" s="307"/>
      <c r="C37" s="176">
        <v>25</v>
      </c>
      <c r="D37" s="177" t="s">
        <v>334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318</v>
      </c>
      <c r="AC37" s="149">
        <v>2008</v>
      </c>
    </row>
    <row r="38" spans="2:29" ht="16.5" customHeight="1">
      <c r="B38" s="69"/>
      <c r="C38" s="69"/>
      <c r="D38" s="65" t="s">
        <v>316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533</v>
      </c>
      <c r="C39" s="244"/>
      <c r="D39" s="244"/>
      <c r="E39" s="303" t="s">
        <v>537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483</v>
      </c>
      <c r="BE2" s="341"/>
      <c r="BF2" s="341"/>
      <c r="BG2" s="341"/>
      <c r="BH2" s="341"/>
      <c r="BI2" s="341"/>
      <c r="BJ2" s="342"/>
    </row>
    <row r="3" spans="1:82" s="72" customFormat="1" ht="76.5" customHeight="1">
      <c r="A3" s="266" t="s">
        <v>276</v>
      </c>
      <c r="B3" s="275" t="s">
        <v>277</v>
      </c>
      <c r="C3" s="276" t="s">
        <v>49</v>
      </c>
      <c r="D3" s="274" t="s">
        <v>468</v>
      </c>
      <c r="E3" s="267" t="s">
        <v>340</v>
      </c>
      <c r="F3" s="267" t="s">
        <v>451</v>
      </c>
      <c r="G3" s="267" t="s">
        <v>342</v>
      </c>
      <c r="H3" s="267" t="s">
        <v>343</v>
      </c>
      <c r="I3" s="267" t="s">
        <v>344</v>
      </c>
      <c r="J3" s="267" t="s">
        <v>492</v>
      </c>
      <c r="K3" s="267" t="s">
        <v>493</v>
      </c>
      <c r="L3" s="267" t="s">
        <v>494</v>
      </c>
      <c r="M3" s="267" t="s">
        <v>345</v>
      </c>
      <c r="N3" s="267" t="s">
        <v>346</v>
      </c>
      <c r="O3" s="267" t="s">
        <v>347</v>
      </c>
      <c r="P3" s="267" t="s">
        <v>482</v>
      </c>
      <c r="Q3" s="267" t="s">
        <v>348</v>
      </c>
      <c r="R3" s="267" t="s">
        <v>349</v>
      </c>
      <c r="S3" s="267" t="s">
        <v>350</v>
      </c>
      <c r="T3" s="267" t="s">
        <v>351</v>
      </c>
      <c r="U3" s="267" t="s">
        <v>352</v>
      </c>
      <c r="V3" s="267" t="s">
        <v>353</v>
      </c>
      <c r="W3" s="267" t="s">
        <v>354</v>
      </c>
      <c r="X3" s="267" t="s">
        <v>355</v>
      </c>
      <c r="Y3" s="267" t="s">
        <v>356</v>
      </c>
      <c r="Z3" s="267" t="s">
        <v>357</v>
      </c>
      <c r="AA3" s="267" t="s">
        <v>358</v>
      </c>
      <c r="AB3" s="267" t="s">
        <v>359</v>
      </c>
      <c r="AC3" s="267" t="s">
        <v>360</v>
      </c>
      <c r="AD3" s="268" t="s">
        <v>361</v>
      </c>
      <c r="AE3" s="268" t="s">
        <v>340</v>
      </c>
      <c r="AF3" s="269" t="s">
        <v>341</v>
      </c>
      <c r="AG3" s="268" t="s">
        <v>342</v>
      </c>
      <c r="AH3" s="268" t="s">
        <v>343</v>
      </c>
      <c r="AI3" s="268" t="s">
        <v>344</v>
      </c>
      <c r="AJ3" s="268" t="s">
        <v>492</v>
      </c>
      <c r="AK3" s="268" t="s">
        <v>493</v>
      </c>
      <c r="AL3" s="268" t="s">
        <v>494</v>
      </c>
      <c r="AM3" s="268" t="s">
        <v>345</v>
      </c>
      <c r="AN3" s="268" t="s">
        <v>346</v>
      </c>
      <c r="AO3" s="268" t="s">
        <v>347</v>
      </c>
      <c r="AP3" s="268" t="s">
        <v>482</v>
      </c>
      <c r="AQ3" s="268" t="s">
        <v>348</v>
      </c>
      <c r="AR3" s="268" t="s">
        <v>349</v>
      </c>
      <c r="AS3" s="268" t="s">
        <v>350</v>
      </c>
      <c r="AT3" s="268" t="s">
        <v>351</v>
      </c>
      <c r="AU3" s="268" t="s">
        <v>352</v>
      </c>
      <c r="AV3" s="268" t="s">
        <v>353</v>
      </c>
      <c r="AW3" s="268" t="s">
        <v>354</v>
      </c>
      <c r="AX3" s="268" t="s">
        <v>355</v>
      </c>
      <c r="AY3" s="270" t="s">
        <v>356</v>
      </c>
      <c r="AZ3" s="271" t="s">
        <v>357</v>
      </c>
      <c r="BA3" s="271" t="s">
        <v>358</v>
      </c>
      <c r="BB3" s="271" t="s">
        <v>359</v>
      </c>
      <c r="BC3" s="272" t="s">
        <v>360</v>
      </c>
      <c r="BD3" s="273" t="s">
        <v>480</v>
      </c>
      <c r="BE3" s="273" t="s">
        <v>481</v>
      </c>
      <c r="BF3" s="273" t="s">
        <v>488</v>
      </c>
      <c r="BG3" s="273" t="s">
        <v>489</v>
      </c>
      <c r="BH3" s="273" t="s">
        <v>487</v>
      </c>
      <c r="BI3" s="273" t="s">
        <v>490</v>
      </c>
      <c r="BJ3" s="273" t="s">
        <v>491</v>
      </c>
      <c r="BK3" s="73"/>
      <c r="BL3" s="73"/>
      <c r="BM3" s="73"/>
      <c r="BN3" s="73"/>
      <c r="BO3" s="73"/>
      <c r="BP3" s="73"/>
      <c r="BQ3" s="73"/>
      <c r="BR3" s="73"/>
      <c r="BS3" s="73"/>
      <c r="BT3" s="73"/>
      <c r="BU3" s="73"/>
      <c r="BV3" s="73"/>
      <c r="BW3" s="73"/>
      <c r="BX3" s="73"/>
      <c r="BY3" s="73"/>
      <c r="BZ3" s="73"/>
      <c r="CA3" s="73"/>
      <c r="CB3" s="73"/>
      <c r="CC3" s="73"/>
      <c r="CD3" s="73"/>
    </row>
    <row r="4" spans="1:66" ht="12.75">
      <c r="A4" s="79" t="s">
        <v>520</v>
      </c>
      <c r="B4" s="79" t="s">
        <v>307</v>
      </c>
      <c r="C4" s="79" t="s">
        <v>231</v>
      </c>
      <c r="D4" s="99">
        <v>2138</v>
      </c>
      <c r="E4" s="99">
        <v>507</v>
      </c>
      <c r="F4" s="99" t="s">
        <v>339</v>
      </c>
      <c r="G4" s="99">
        <v>14</v>
      </c>
      <c r="H4" s="99">
        <v>6</v>
      </c>
      <c r="I4" s="99">
        <v>39</v>
      </c>
      <c r="J4" s="99">
        <v>243</v>
      </c>
      <c r="K4" s="99" t="s">
        <v>536</v>
      </c>
      <c r="L4" s="99">
        <v>424</v>
      </c>
      <c r="M4" s="99">
        <v>221</v>
      </c>
      <c r="N4" s="99">
        <v>108</v>
      </c>
      <c r="O4" s="99">
        <v>29</v>
      </c>
      <c r="P4" s="159">
        <v>29</v>
      </c>
      <c r="Q4" s="99" t="s">
        <v>536</v>
      </c>
      <c r="R4" s="99" t="s">
        <v>536</v>
      </c>
      <c r="S4" s="99">
        <v>8</v>
      </c>
      <c r="T4" s="99">
        <v>7</v>
      </c>
      <c r="U4" s="99" t="s">
        <v>536</v>
      </c>
      <c r="V4" s="99" t="s">
        <v>536</v>
      </c>
      <c r="W4" s="99">
        <v>15</v>
      </c>
      <c r="X4" s="99" t="s">
        <v>536</v>
      </c>
      <c r="Y4" s="99">
        <v>16</v>
      </c>
      <c r="Z4" s="99" t="s">
        <v>536</v>
      </c>
      <c r="AA4" s="99" t="s">
        <v>536</v>
      </c>
      <c r="AB4" s="99" t="s">
        <v>536</v>
      </c>
      <c r="AC4" s="99" t="s">
        <v>536</v>
      </c>
      <c r="AD4" s="98" t="s">
        <v>316</v>
      </c>
      <c r="AE4" s="100">
        <v>0.23713751169317118</v>
      </c>
      <c r="AF4" s="100">
        <v>0.07</v>
      </c>
      <c r="AG4" s="98">
        <v>654.8175865294668</v>
      </c>
      <c r="AH4" s="98">
        <v>280.63610851262865</v>
      </c>
      <c r="AI4" s="100">
        <v>0.018000000000000002</v>
      </c>
      <c r="AJ4" s="100">
        <v>0.721068</v>
      </c>
      <c r="AK4" s="100" t="s">
        <v>536</v>
      </c>
      <c r="AL4" s="100">
        <v>0.810707</v>
      </c>
      <c r="AM4" s="100">
        <v>0.600543</v>
      </c>
      <c r="AN4" s="100">
        <v>0.705882</v>
      </c>
      <c r="AO4" s="98">
        <v>1356.4078578110384</v>
      </c>
      <c r="AP4" s="158">
        <v>0.5953153609999999</v>
      </c>
      <c r="AQ4" s="100" t="s">
        <v>536</v>
      </c>
      <c r="AR4" s="100" t="s">
        <v>536</v>
      </c>
      <c r="AS4" s="98">
        <v>374.1814780168382</v>
      </c>
      <c r="AT4" s="98">
        <v>327.4087932647334</v>
      </c>
      <c r="AU4" s="98" t="s">
        <v>536</v>
      </c>
      <c r="AV4" s="98" t="s">
        <v>536</v>
      </c>
      <c r="AW4" s="98">
        <v>701.5902712815715</v>
      </c>
      <c r="AX4" s="98" t="s">
        <v>536</v>
      </c>
      <c r="AY4" s="98">
        <v>748.3629560336764</v>
      </c>
      <c r="AZ4" s="98" t="s">
        <v>536</v>
      </c>
      <c r="BA4" s="100" t="s">
        <v>536</v>
      </c>
      <c r="BB4" s="100" t="s">
        <v>536</v>
      </c>
      <c r="BC4" s="100" t="s">
        <v>536</v>
      </c>
      <c r="BD4" s="158">
        <v>0.39869201660000003</v>
      </c>
      <c r="BE4" s="158">
        <v>0.8549721526999999</v>
      </c>
      <c r="BF4" s="162">
        <v>337</v>
      </c>
      <c r="BG4" s="162" t="s">
        <v>536</v>
      </c>
      <c r="BH4" s="162">
        <v>523</v>
      </c>
      <c r="BI4" s="162">
        <v>368</v>
      </c>
      <c r="BJ4" s="162">
        <v>153</v>
      </c>
      <c r="BK4" s="97"/>
      <c r="BL4" s="97"/>
      <c r="BM4" s="97"/>
      <c r="BN4" s="97"/>
    </row>
    <row r="5" spans="1:66" ht="12.75">
      <c r="A5" s="79" t="s">
        <v>505</v>
      </c>
      <c r="B5" s="79" t="s">
        <v>287</v>
      </c>
      <c r="C5" s="79" t="s">
        <v>231</v>
      </c>
      <c r="D5" s="99">
        <v>3821</v>
      </c>
      <c r="E5" s="99">
        <v>808</v>
      </c>
      <c r="F5" s="99" t="s">
        <v>339</v>
      </c>
      <c r="G5" s="99">
        <v>24</v>
      </c>
      <c r="H5" s="99">
        <v>11</v>
      </c>
      <c r="I5" s="99">
        <v>101</v>
      </c>
      <c r="J5" s="99">
        <v>503</v>
      </c>
      <c r="K5" s="99">
        <v>23</v>
      </c>
      <c r="L5" s="99">
        <v>739</v>
      </c>
      <c r="M5" s="99">
        <v>393</v>
      </c>
      <c r="N5" s="99">
        <v>179</v>
      </c>
      <c r="O5" s="99">
        <v>155</v>
      </c>
      <c r="P5" s="159">
        <v>155</v>
      </c>
      <c r="Q5" s="99">
        <v>13</v>
      </c>
      <c r="R5" s="99">
        <v>19</v>
      </c>
      <c r="S5" s="99">
        <v>21</v>
      </c>
      <c r="T5" s="99">
        <v>35</v>
      </c>
      <c r="U5" s="99" t="s">
        <v>536</v>
      </c>
      <c r="V5" s="99">
        <v>29</v>
      </c>
      <c r="W5" s="99">
        <v>43</v>
      </c>
      <c r="X5" s="99">
        <v>16</v>
      </c>
      <c r="Y5" s="99">
        <v>62</v>
      </c>
      <c r="Z5" s="99">
        <v>17</v>
      </c>
      <c r="AA5" s="99" t="s">
        <v>536</v>
      </c>
      <c r="AB5" s="99" t="s">
        <v>536</v>
      </c>
      <c r="AC5" s="99" t="s">
        <v>536</v>
      </c>
      <c r="AD5" s="98" t="s">
        <v>316</v>
      </c>
      <c r="AE5" s="100">
        <v>0.21146296780947396</v>
      </c>
      <c r="AF5" s="100">
        <v>0.07</v>
      </c>
      <c r="AG5" s="98">
        <v>628.1078251766553</v>
      </c>
      <c r="AH5" s="98">
        <v>287.88275320596705</v>
      </c>
      <c r="AI5" s="100">
        <v>0.026000000000000002</v>
      </c>
      <c r="AJ5" s="100">
        <v>0.8048</v>
      </c>
      <c r="AK5" s="100">
        <v>0.69697</v>
      </c>
      <c r="AL5" s="100">
        <v>0.818383</v>
      </c>
      <c r="AM5" s="100">
        <v>0.62381</v>
      </c>
      <c r="AN5" s="100">
        <v>0.639286</v>
      </c>
      <c r="AO5" s="98">
        <v>4056.529704265899</v>
      </c>
      <c r="AP5" s="158">
        <v>1.8431315609999999</v>
      </c>
      <c r="AQ5" s="100">
        <v>0.08387096774193549</v>
      </c>
      <c r="AR5" s="100">
        <v>0.6842105263157895</v>
      </c>
      <c r="AS5" s="98">
        <v>549.5943470295734</v>
      </c>
      <c r="AT5" s="98">
        <v>915.9905783826224</v>
      </c>
      <c r="AU5" s="98" t="s">
        <v>536</v>
      </c>
      <c r="AV5" s="98">
        <v>758.9636220884585</v>
      </c>
      <c r="AW5" s="98">
        <v>1125.3598534415075</v>
      </c>
      <c r="AX5" s="98">
        <v>418.7385501177702</v>
      </c>
      <c r="AY5" s="98">
        <v>1622.6118817063596</v>
      </c>
      <c r="AZ5" s="98">
        <v>444.9097095001309</v>
      </c>
      <c r="BA5" s="100" t="s">
        <v>536</v>
      </c>
      <c r="BB5" s="100" t="s">
        <v>536</v>
      </c>
      <c r="BC5" s="100" t="s">
        <v>536</v>
      </c>
      <c r="BD5" s="158">
        <v>1.5643925479999998</v>
      </c>
      <c r="BE5" s="158">
        <v>2.157212067</v>
      </c>
      <c r="BF5" s="162">
        <v>625</v>
      </c>
      <c r="BG5" s="162">
        <v>33</v>
      </c>
      <c r="BH5" s="162">
        <v>903</v>
      </c>
      <c r="BI5" s="162">
        <v>630</v>
      </c>
      <c r="BJ5" s="162">
        <v>280</v>
      </c>
      <c r="BK5" s="97"/>
      <c r="BL5" s="97"/>
      <c r="BM5" s="97"/>
      <c r="BN5" s="97"/>
    </row>
    <row r="6" spans="1:66" ht="12.75">
      <c r="A6" s="79" t="s">
        <v>510</v>
      </c>
      <c r="B6" s="79" t="s">
        <v>293</v>
      </c>
      <c r="C6" s="79" t="s">
        <v>231</v>
      </c>
      <c r="D6" s="99">
        <v>9357</v>
      </c>
      <c r="E6" s="99">
        <v>1585</v>
      </c>
      <c r="F6" s="99" t="s">
        <v>337</v>
      </c>
      <c r="G6" s="99">
        <v>35</v>
      </c>
      <c r="H6" s="99">
        <v>29</v>
      </c>
      <c r="I6" s="99">
        <v>159</v>
      </c>
      <c r="J6" s="99">
        <v>875</v>
      </c>
      <c r="K6" s="99">
        <v>30</v>
      </c>
      <c r="L6" s="99">
        <v>1948</v>
      </c>
      <c r="M6" s="99">
        <v>688</v>
      </c>
      <c r="N6" s="99">
        <v>343</v>
      </c>
      <c r="O6" s="99">
        <v>191</v>
      </c>
      <c r="P6" s="159">
        <v>191</v>
      </c>
      <c r="Q6" s="99">
        <v>23</v>
      </c>
      <c r="R6" s="99">
        <v>47</v>
      </c>
      <c r="S6" s="99">
        <v>16</v>
      </c>
      <c r="T6" s="99">
        <v>35</v>
      </c>
      <c r="U6" s="99">
        <v>6</v>
      </c>
      <c r="V6" s="99">
        <v>39</v>
      </c>
      <c r="W6" s="99">
        <v>38</v>
      </c>
      <c r="X6" s="99">
        <v>21</v>
      </c>
      <c r="Y6" s="99">
        <v>95</v>
      </c>
      <c r="Z6" s="99">
        <v>68</v>
      </c>
      <c r="AA6" s="99" t="s">
        <v>536</v>
      </c>
      <c r="AB6" s="99" t="s">
        <v>536</v>
      </c>
      <c r="AC6" s="99" t="s">
        <v>536</v>
      </c>
      <c r="AD6" s="98" t="s">
        <v>316</v>
      </c>
      <c r="AE6" s="100">
        <v>0.16939189911296357</v>
      </c>
      <c r="AF6" s="100">
        <v>0.1</v>
      </c>
      <c r="AG6" s="98">
        <v>374.05151223682805</v>
      </c>
      <c r="AH6" s="98">
        <v>309.9283958533718</v>
      </c>
      <c r="AI6" s="100">
        <v>0.017</v>
      </c>
      <c r="AJ6" s="100">
        <v>0.688434</v>
      </c>
      <c r="AK6" s="100">
        <v>0.714286</v>
      </c>
      <c r="AL6" s="100">
        <v>0.803962</v>
      </c>
      <c r="AM6" s="100">
        <v>0.592593</v>
      </c>
      <c r="AN6" s="100">
        <v>0.631676</v>
      </c>
      <c r="AO6" s="98">
        <v>2041.2525382066901</v>
      </c>
      <c r="AP6" s="158">
        <v>1.046437759</v>
      </c>
      <c r="AQ6" s="100">
        <v>0.12041884816753927</v>
      </c>
      <c r="AR6" s="100">
        <v>0.48936170212765956</v>
      </c>
      <c r="AS6" s="98">
        <v>170.99497702254996</v>
      </c>
      <c r="AT6" s="98">
        <v>374.05151223682805</v>
      </c>
      <c r="AU6" s="98">
        <v>64.12311638345624</v>
      </c>
      <c r="AV6" s="98">
        <v>416.8002564924655</v>
      </c>
      <c r="AW6" s="98">
        <v>406.11307042855617</v>
      </c>
      <c r="AX6" s="98">
        <v>224.43090734209682</v>
      </c>
      <c r="AY6" s="98">
        <v>1015.2826760713904</v>
      </c>
      <c r="AZ6" s="98">
        <v>726.7286523458373</v>
      </c>
      <c r="BA6" s="100" t="s">
        <v>536</v>
      </c>
      <c r="BB6" s="100" t="s">
        <v>536</v>
      </c>
      <c r="BC6" s="100" t="s">
        <v>536</v>
      </c>
      <c r="BD6" s="158">
        <v>0.9032894134999999</v>
      </c>
      <c r="BE6" s="158">
        <v>1.2058275600000001</v>
      </c>
      <c r="BF6" s="162">
        <v>1271</v>
      </c>
      <c r="BG6" s="162">
        <v>42</v>
      </c>
      <c r="BH6" s="162">
        <v>2423</v>
      </c>
      <c r="BI6" s="162">
        <v>1161</v>
      </c>
      <c r="BJ6" s="162">
        <v>543</v>
      </c>
      <c r="BK6" s="97"/>
      <c r="BL6" s="97"/>
      <c r="BM6" s="97"/>
      <c r="BN6" s="97"/>
    </row>
    <row r="7" spans="1:66" ht="12.75">
      <c r="A7" s="79" t="s">
        <v>523</v>
      </c>
      <c r="B7" s="79" t="s">
        <v>310</v>
      </c>
      <c r="C7" s="79" t="s">
        <v>231</v>
      </c>
      <c r="D7" s="99">
        <v>1909</v>
      </c>
      <c r="E7" s="99">
        <v>442</v>
      </c>
      <c r="F7" s="99" t="s">
        <v>339</v>
      </c>
      <c r="G7" s="99">
        <v>13</v>
      </c>
      <c r="H7" s="99" t="s">
        <v>536</v>
      </c>
      <c r="I7" s="99">
        <v>29</v>
      </c>
      <c r="J7" s="99">
        <v>236</v>
      </c>
      <c r="K7" s="99">
        <v>55</v>
      </c>
      <c r="L7" s="99">
        <v>347</v>
      </c>
      <c r="M7" s="99">
        <v>194</v>
      </c>
      <c r="N7" s="99">
        <v>83</v>
      </c>
      <c r="O7" s="99">
        <v>68</v>
      </c>
      <c r="P7" s="159">
        <v>68</v>
      </c>
      <c r="Q7" s="99">
        <v>7</v>
      </c>
      <c r="R7" s="99">
        <v>13</v>
      </c>
      <c r="S7" s="99">
        <v>9</v>
      </c>
      <c r="T7" s="99">
        <v>9</v>
      </c>
      <c r="U7" s="99" t="s">
        <v>536</v>
      </c>
      <c r="V7" s="99">
        <v>11</v>
      </c>
      <c r="W7" s="99">
        <v>10</v>
      </c>
      <c r="X7" s="99">
        <v>9</v>
      </c>
      <c r="Y7" s="99">
        <v>17</v>
      </c>
      <c r="Z7" s="99">
        <v>9</v>
      </c>
      <c r="AA7" s="99" t="s">
        <v>536</v>
      </c>
      <c r="AB7" s="99" t="s">
        <v>536</v>
      </c>
      <c r="AC7" s="99" t="s">
        <v>536</v>
      </c>
      <c r="AD7" s="98" t="s">
        <v>316</v>
      </c>
      <c r="AE7" s="100">
        <v>0.23153483499214247</v>
      </c>
      <c r="AF7" s="100">
        <v>0.05</v>
      </c>
      <c r="AG7" s="98">
        <v>680.984808800419</v>
      </c>
      <c r="AH7" s="98" t="s">
        <v>536</v>
      </c>
      <c r="AI7" s="100">
        <v>0.015</v>
      </c>
      <c r="AJ7" s="100">
        <v>0.776316</v>
      </c>
      <c r="AK7" s="100">
        <v>0.763889</v>
      </c>
      <c r="AL7" s="100">
        <v>0.762637</v>
      </c>
      <c r="AM7" s="100">
        <v>0.619808</v>
      </c>
      <c r="AN7" s="100">
        <v>0.62406</v>
      </c>
      <c r="AO7" s="98">
        <v>3562.0743844944996</v>
      </c>
      <c r="AP7" s="158">
        <v>1.5288574220000002</v>
      </c>
      <c r="AQ7" s="100">
        <v>0.10294117647058823</v>
      </c>
      <c r="AR7" s="100">
        <v>0.5384615384615384</v>
      </c>
      <c r="AS7" s="98">
        <v>471.4510214772132</v>
      </c>
      <c r="AT7" s="98">
        <v>471.4510214772132</v>
      </c>
      <c r="AU7" s="98" t="s">
        <v>536</v>
      </c>
      <c r="AV7" s="98">
        <v>576.2179151388161</v>
      </c>
      <c r="AW7" s="98">
        <v>523.8344683080147</v>
      </c>
      <c r="AX7" s="98">
        <v>471.4510214772132</v>
      </c>
      <c r="AY7" s="98">
        <v>890.5185961236249</v>
      </c>
      <c r="AZ7" s="98">
        <v>471.4510214772132</v>
      </c>
      <c r="BA7" s="100" t="s">
        <v>536</v>
      </c>
      <c r="BB7" s="100" t="s">
        <v>536</v>
      </c>
      <c r="BC7" s="100" t="s">
        <v>536</v>
      </c>
      <c r="BD7" s="158">
        <v>1.18721756</v>
      </c>
      <c r="BE7" s="158">
        <v>1.9381910709999999</v>
      </c>
      <c r="BF7" s="162">
        <v>304</v>
      </c>
      <c r="BG7" s="162">
        <v>72</v>
      </c>
      <c r="BH7" s="162">
        <v>455</v>
      </c>
      <c r="BI7" s="162">
        <v>313</v>
      </c>
      <c r="BJ7" s="162">
        <v>133</v>
      </c>
      <c r="BK7" s="97"/>
      <c r="BL7" s="97"/>
      <c r="BM7" s="97"/>
      <c r="BN7" s="97"/>
    </row>
    <row r="8" spans="1:66" ht="12.75">
      <c r="A8" s="79" t="s">
        <v>506</v>
      </c>
      <c r="B8" s="79" t="s">
        <v>288</v>
      </c>
      <c r="C8" s="79" t="s">
        <v>231</v>
      </c>
      <c r="D8" s="99">
        <v>4653</v>
      </c>
      <c r="E8" s="99">
        <v>924</v>
      </c>
      <c r="F8" s="99" t="s">
        <v>337</v>
      </c>
      <c r="G8" s="99">
        <v>28</v>
      </c>
      <c r="H8" s="99">
        <v>14</v>
      </c>
      <c r="I8" s="99">
        <v>99</v>
      </c>
      <c r="J8" s="99">
        <v>490</v>
      </c>
      <c r="K8" s="99" t="s">
        <v>536</v>
      </c>
      <c r="L8" s="99">
        <v>917</v>
      </c>
      <c r="M8" s="99">
        <v>365</v>
      </c>
      <c r="N8" s="99">
        <v>184</v>
      </c>
      <c r="O8" s="99">
        <v>101</v>
      </c>
      <c r="P8" s="159">
        <v>101</v>
      </c>
      <c r="Q8" s="99">
        <v>19</v>
      </c>
      <c r="R8" s="99">
        <v>28</v>
      </c>
      <c r="S8" s="99">
        <v>12</v>
      </c>
      <c r="T8" s="99">
        <v>28</v>
      </c>
      <c r="U8" s="99">
        <v>6</v>
      </c>
      <c r="V8" s="99">
        <v>17</v>
      </c>
      <c r="W8" s="99">
        <v>22</v>
      </c>
      <c r="X8" s="99">
        <v>25</v>
      </c>
      <c r="Y8" s="99">
        <v>67</v>
      </c>
      <c r="Z8" s="99">
        <v>26</v>
      </c>
      <c r="AA8" s="99" t="s">
        <v>536</v>
      </c>
      <c r="AB8" s="99" t="s">
        <v>536</v>
      </c>
      <c r="AC8" s="99" t="s">
        <v>536</v>
      </c>
      <c r="AD8" s="98" t="s">
        <v>316</v>
      </c>
      <c r="AE8" s="100">
        <v>0.19858156028368795</v>
      </c>
      <c r="AF8" s="100">
        <v>0.11</v>
      </c>
      <c r="AG8" s="98">
        <v>601.7623038899635</v>
      </c>
      <c r="AH8" s="98">
        <v>300.88115194498175</v>
      </c>
      <c r="AI8" s="100">
        <v>0.021</v>
      </c>
      <c r="AJ8" s="100">
        <v>0.750383</v>
      </c>
      <c r="AK8" s="100" t="s">
        <v>536</v>
      </c>
      <c r="AL8" s="100">
        <v>0.803681</v>
      </c>
      <c r="AM8" s="100">
        <v>0.586817</v>
      </c>
      <c r="AN8" s="100">
        <v>0.647887</v>
      </c>
      <c r="AO8" s="98">
        <v>2170.6425961745113</v>
      </c>
      <c r="AP8" s="158">
        <v>1.054181976</v>
      </c>
      <c r="AQ8" s="100">
        <v>0.18811881188118812</v>
      </c>
      <c r="AR8" s="100">
        <v>0.6785714285714286</v>
      </c>
      <c r="AS8" s="98">
        <v>257.8981302385558</v>
      </c>
      <c r="AT8" s="98">
        <v>601.7623038899635</v>
      </c>
      <c r="AU8" s="98">
        <v>128.9490651192779</v>
      </c>
      <c r="AV8" s="98">
        <v>365.3556845046207</v>
      </c>
      <c r="AW8" s="98">
        <v>472.8132387706856</v>
      </c>
      <c r="AX8" s="98">
        <v>537.2877713303245</v>
      </c>
      <c r="AY8" s="98">
        <v>1439.9312271652698</v>
      </c>
      <c r="AZ8" s="98">
        <v>558.7792821835375</v>
      </c>
      <c r="BA8" s="100" t="s">
        <v>536</v>
      </c>
      <c r="BB8" s="100" t="s">
        <v>536</v>
      </c>
      <c r="BC8" s="100" t="s">
        <v>536</v>
      </c>
      <c r="BD8" s="158">
        <v>0.8586485291</v>
      </c>
      <c r="BE8" s="158">
        <v>1.280926666</v>
      </c>
      <c r="BF8" s="162">
        <v>653</v>
      </c>
      <c r="BG8" s="162" t="s">
        <v>536</v>
      </c>
      <c r="BH8" s="162">
        <v>1141</v>
      </c>
      <c r="BI8" s="162">
        <v>622</v>
      </c>
      <c r="BJ8" s="162">
        <v>284</v>
      </c>
      <c r="BK8" s="97"/>
      <c r="BL8" s="97"/>
      <c r="BM8" s="97"/>
      <c r="BN8" s="97"/>
    </row>
    <row r="9" spans="1:66" ht="12.75">
      <c r="A9" s="79" t="s">
        <v>503</v>
      </c>
      <c r="B9" s="79" t="s">
        <v>284</v>
      </c>
      <c r="C9" s="79" t="s">
        <v>231</v>
      </c>
      <c r="D9" s="99">
        <v>7832</v>
      </c>
      <c r="E9" s="99">
        <v>1804</v>
      </c>
      <c r="F9" s="99" t="s">
        <v>339</v>
      </c>
      <c r="G9" s="99">
        <v>44</v>
      </c>
      <c r="H9" s="99">
        <v>29</v>
      </c>
      <c r="I9" s="99">
        <v>190</v>
      </c>
      <c r="J9" s="99">
        <v>979</v>
      </c>
      <c r="K9" s="99">
        <v>8</v>
      </c>
      <c r="L9" s="99">
        <v>1543</v>
      </c>
      <c r="M9" s="99">
        <v>674</v>
      </c>
      <c r="N9" s="99">
        <v>354</v>
      </c>
      <c r="O9" s="99">
        <v>276</v>
      </c>
      <c r="P9" s="159">
        <v>276</v>
      </c>
      <c r="Q9" s="99">
        <v>31</v>
      </c>
      <c r="R9" s="99">
        <v>56</v>
      </c>
      <c r="S9" s="99">
        <v>30</v>
      </c>
      <c r="T9" s="99">
        <v>39</v>
      </c>
      <c r="U9" s="99">
        <v>12</v>
      </c>
      <c r="V9" s="99">
        <v>60</v>
      </c>
      <c r="W9" s="99">
        <v>46</v>
      </c>
      <c r="X9" s="99">
        <v>34</v>
      </c>
      <c r="Y9" s="99">
        <v>78</v>
      </c>
      <c r="Z9" s="99">
        <v>38</v>
      </c>
      <c r="AA9" s="99" t="s">
        <v>536</v>
      </c>
      <c r="AB9" s="99" t="s">
        <v>536</v>
      </c>
      <c r="AC9" s="99" t="s">
        <v>536</v>
      </c>
      <c r="AD9" s="98" t="s">
        <v>316</v>
      </c>
      <c r="AE9" s="100">
        <v>0.2303370786516854</v>
      </c>
      <c r="AF9" s="100">
        <v>0.08</v>
      </c>
      <c r="AG9" s="98">
        <v>561.7977528089888</v>
      </c>
      <c r="AH9" s="98">
        <v>370.2757916241062</v>
      </c>
      <c r="AI9" s="100">
        <v>0.024</v>
      </c>
      <c r="AJ9" s="100">
        <v>0.791431</v>
      </c>
      <c r="AK9" s="100">
        <v>0.615385</v>
      </c>
      <c r="AL9" s="100">
        <v>0.798241</v>
      </c>
      <c r="AM9" s="100">
        <v>0.582541</v>
      </c>
      <c r="AN9" s="100">
        <v>0.624339</v>
      </c>
      <c r="AO9" s="98">
        <v>3524.0040858018388</v>
      </c>
      <c r="AP9" s="158">
        <v>1.5687120060000002</v>
      </c>
      <c r="AQ9" s="100">
        <v>0.11231884057971014</v>
      </c>
      <c r="AR9" s="100">
        <v>0.5535714285714286</v>
      </c>
      <c r="AS9" s="98">
        <v>383.0439223697651</v>
      </c>
      <c r="AT9" s="98">
        <v>497.9570990806946</v>
      </c>
      <c r="AU9" s="98">
        <v>153.21756894790602</v>
      </c>
      <c r="AV9" s="98">
        <v>766.0878447395302</v>
      </c>
      <c r="AW9" s="98">
        <v>587.3340143003064</v>
      </c>
      <c r="AX9" s="98">
        <v>434.11644535240043</v>
      </c>
      <c r="AY9" s="98">
        <v>995.9141981613892</v>
      </c>
      <c r="AZ9" s="98">
        <v>485.1889683350357</v>
      </c>
      <c r="BA9" s="100" t="s">
        <v>536</v>
      </c>
      <c r="BB9" s="100" t="s">
        <v>536</v>
      </c>
      <c r="BC9" s="100" t="s">
        <v>536</v>
      </c>
      <c r="BD9" s="158">
        <v>1.389082489</v>
      </c>
      <c r="BE9" s="158">
        <v>1.765124359</v>
      </c>
      <c r="BF9" s="162">
        <v>1237</v>
      </c>
      <c r="BG9" s="162">
        <v>13</v>
      </c>
      <c r="BH9" s="162">
        <v>1933</v>
      </c>
      <c r="BI9" s="162">
        <v>1157</v>
      </c>
      <c r="BJ9" s="162">
        <v>567</v>
      </c>
      <c r="BK9" s="97"/>
      <c r="BL9" s="97"/>
      <c r="BM9" s="97"/>
      <c r="BN9" s="97"/>
    </row>
    <row r="10" spans="1:66" ht="12.75">
      <c r="A10" s="79" t="s">
        <v>544</v>
      </c>
      <c r="B10" s="79" t="s">
        <v>304</v>
      </c>
      <c r="C10" s="79" t="s">
        <v>231</v>
      </c>
      <c r="D10" s="99">
        <v>3373</v>
      </c>
      <c r="E10" s="99">
        <v>597</v>
      </c>
      <c r="F10" s="99" t="s">
        <v>339</v>
      </c>
      <c r="G10" s="99">
        <v>10</v>
      </c>
      <c r="H10" s="99" t="s">
        <v>536</v>
      </c>
      <c r="I10" s="99">
        <v>64</v>
      </c>
      <c r="J10" s="99">
        <v>384</v>
      </c>
      <c r="K10" s="99" t="s">
        <v>536</v>
      </c>
      <c r="L10" s="99">
        <v>707</v>
      </c>
      <c r="M10" s="99">
        <v>298</v>
      </c>
      <c r="N10" s="99">
        <v>152</v>
      </c>
      <c r="O10" s="99">
        <v>68</v>
      </c>
      <c r="P10" s="159">
        <v>68</v>
      </c>
      <c r="Q10" s="99">
        <v>8</v>
      </c>
      <c r="R10" s="99">
        <v>16</v>
      </c>
      <c r="S10" s="99">
        <v>8</v>
      </c>
      <c r="T10" s="99">
        <v>12</v>
      </c>
      <c r="U10" s="99" t="s">
        <v>536</v>
      </c>
      <c r="V10" s="99">
        <v>12</v>
      </c>
      <c r="W10" s="99">
        <v>16</v>
      </c>
      <c r="X10" s="99">
        <v>9</v>
      </c>
      <c r="Y10" s="99">
        <v>24</v>
      </c>
      <c r="Z10" s="99">
        <v>21</v>
      </c>
      <c r="AA10" s="99" t="s">
        <v>536</v>
      </c>
      <c r="AB10" s="99" t="s">
        <v>536</v>
      </c>
      <c r="AC10" s="99" t="s">
        <v>536</v>
      </c>
      <c r="AD10" s="98" t="s">
        <v>316</v>
      </c>
      <c r="AE10" s="100">
        <v>0.17699377408834865</v>
      </c>
      <c r="AF10" s="100">
        <v>0.07</v>
      </c>
      <c r="AG10" s="98">
        <v>296.4719833975689</v>
      </c>
      <c r="AH10" s="98" t="s">
        <v>536</v>
      </c>
      <c r="AI10" s="100">
        <v>0.019</v>
      </c>
      <c r="AJ10" s="100">
        <v>0.725898</v>
      </c>
      <c r="AK10" s="100" t="s">
        <v>536</v>
      </c>
      <c r="AL10" s="100">
        <v>0.826901</v>
      </c>
      <c r="AM10" s="100">
        <v>0.600806</v>
      </c>
      <c r="AN10" s="100">
        <v>0.658009</v>
      </c>
      <c r="AO10" s="98">
        <v>2016.0094871034687</v>
      </c>
      <c r="AP10" s="158">
        <v>0.9865881348000001</v>
      </c>
      <c r="AQ10" s="100">
        <v>0.11764705882352941</v>
      </c>
      <c r="AR10" s="100">
        <v>0.5</v>
      </c>
      <c r="AS10" s="98">
        <v>237.17758671805515</v>
      </c>
      <c r="AT10" s="98">
        <v>355.7663800770827</v>
      </c>
      <c r="AU10" s="98" t="s">
        <v>536</v>
      </c>
      <c r="AV10" s="98">
        <v>355.7663800770827</v>
      </c>
      <c r="AW10" s="98">
        <v>474.3551734361103</v>
      </c>
      <c r="AX10" s="98">
        <v>266.82478505781205</v>
      </c>
      <c r="AY10" s="98">
        <v>711.5327601541654</v>
      </c>
      <c r="AZ10" s="98">
        <v>622.5911651348947</v>
      </c>
      <c r="BA10" s="100" t="s">
        <v>536</v>
      </c>
      <c r="BB10" s="100" t="s">
        <v>536</v>
      </c>
      <c r="BC10" s="100" t="s">
        <v>536</v>
      </c>
      <c r="BD10" s="158">
        <v>0.7661242676000001</v>
      </c>
      <c r="BE10" s="158">
        <v>1.25073555</v>
      </c>
      <c r="BF10" s="162">
        <v>529</v>
      </c>
      <c r="BG10" s="162" t="s">
        <v>536</v>
      </c>
      <c r="BH10" s="162">
        <v>855</v>
      </c>
      <c r="BI10" s="162">
        <v>496</v>
      </c>
      <c r="BJ10" s="162">
        <v>231</v>
      </c>
      <c r="BK10" s="97"/>
      <c r="BL10" s="97"/>
      <c r="BM10" s="97"/>
      <c r="BN10" s="97"/>
    </row>
    <row r="11" spans="1:66" ht="12.75">
      <c r="A11" s="79" t="s">
        <v>542</v>
      </c>
      <c r="B11" s="79" t="s">
        <v>297</v>
      </c>
      <c r="C11" s="79" t="s">
        <v>231</v>
      </c>
      <c r="D11" s="99">
        <v>8561</v>
      </c>
      <c r="E11" s="99">
        <v>1675</v>
      </c>
      <c r="F11" s="99" t="s">
        <v>337</v>
      </c>
      <c r="G11" s="99">
        <v>37</v>
      </c>
      <c r="H11" s="99">
        <v>25</v>
      </c>
      <c r="I11" s="99">
        <v>125</v>
      </c>
      <c r="J11" s="99">
        <v>854</v>
      </c>
      <c r="K11" s="99">
        <v>9</v>
      </c>
      <c r="L11" s="99">
        <v>1657</v>
      </c>
      <c r="M11" s="99">
        <v>685</v>
      </c>
      <c r="N11" s="99">
        <v>359</v>
      </c>
      <c r="O11" s="99">
        <v>167</v>
      </c>
      <c r="P11" s="159">
        <v>167</v>
      </c>
      <c r="Q11" s="99">
        <v>18</v>
      </c>
      <c r="R11" s="99">
        <v>37</v>
      </c>
      <c r="S11" s="99">
        <v>24</v>
      </c>
      <c r="T11" s="99">
        <v>35</v>
      </c>
      <c r="U11" s="99">
        <v>6</v>
      </c>
      <c r="V11" s="99">
        <v>26</v>
      </c>
      <c r="W11" s="99">
        <v>29</v>
      </c>
      <c r="X11" s="99">
        <v>26</v>
      </c>
      <c r="Y11" s="99">
        <v>77</v>
      </c>
      <c r="Z11" s="99">
        <v>57</v>
      </c>
      <c r="AA11" s="99" t="s">
        <v>536</v>
      </c>
      <c r="AB11" s="99" t="s">
        <v>536</v>
      </c>
      <c r="AC11" s="99" t="s">
        <v>536</v>
      </c>
      <c r="AD11" s="98" t="s">
        <v>316</v>
      </c>
      <c r="AE11" s="100">
        <v>0.19565471323443523</v>
      </c>
      <c r="AF11" s="100">
        <v>0.11</v>
      </c>
      <c r="AG11" s="98">
        <v>432.1925008760659</v>
      </c>
      <c r="AH11" s="98">
        <v>292.02196005139587</v>
      </c>
      <c r="AI11" s="100">
        <v>0.015</v>
      </c>
      <c r="AJ11" s="100">
        <v>0.729291</v>
      </c>
      <c r="AK11" s="100">
        <v>0.692308</v>
      </c>
      <c r="AL11" s="100">
        <v>0.774661</v>
      </c>
      <c r="AM11" s="100">
        <v>0.579036</v>
      </c>
      <c r="AN11" s="100">
        <v>0.645683</v>
      </c>
      <c r="AO11" s="98">
        <v>1950.7066931433244</v>
      </c>
      <c r="AP11" s="158">
        <v>0.9473582457999999</v>
      </c>
      <c r="AQ11" s="100">
        <v>0.10778443113772455</v>
      </c>
      <c r="AR11" s="100">
        <v>0.4864864864864865</v>
      </c>
      <c r="AS11" s="98">
        <v>280.34108164934</v>
      </c>
      <c r="AT11" s="98">
        <v>408.8307440719542</v>
      </c>
      <c r="AU11" s="98">
        <v>70.085270412335</v>
      </c>
      <c r="AV11" s="98">
        <v>303.7028384534517</v>
      </c>
      <c r="AW11" s="98">
        <v>338.7454736596192</v>
      </c>
      <c r="AX11" s="98">
        <v>303.7028384534517</v>
      </c>
      <c r="AY11" s="98">
        <v>899.4276369582992</v>
      </c>
      <c r="AZ11" s="98">
        <v>665.8100689171825</v>
      </c>
      <c r="BA11" s="100" t="s">
        <v>536</v>
      </c>
      <c r="BB11" s="100" t="s">
        <v>536</v>
      </c>
      <c r="BC11" s="100" t="s">
        <v>536</v>
      </c>
      <c r="BD11" s="158">
        <v>0.8091217804</v>
      </c>
      <c r="BE11" s="158">
        <v>1.102438736</v>
      </c>
      <c r="BF11" s="162">
        <v>1171</v>
      </c>
      <c r="BG11" s="162">
        <v>13</v>
      </c>
      <c r="BH11" s="162">
        <v>2139</v>
      </c>
      <c r="BI11" s="162">
        <v>1183</v>
      </c>
      <c r="BJ11" s="162">
        <v>556</v>
      </c>
      <c r="BK11" s="97"/>
      <c r="BL11" s="97"/>
      <c r="BM11" s="97"/>
      <c r="BN11" s="97"/>
    </row>
    <row r="12" spans="1:66" ht="12.75">
      <c r="A12" s="79" t="s">
        <v>516</v>
      </c>
      <c r="B12" s="79" t="s">
        <v>302</v>
      </c>
      <c r="C12" s="79" t="s">
        <v>231</v>
      </c>
      <c r="D12" s="99">
        <v>7197</v>
      </c>
      <c r="E12" s="99">
        <v>1392</v>
      </c>
      <c r="F12" s="99" t="s">
        <v>337</v>
      </c>
      <c r="G12" s="99">
        <v>32</v>
      </c>
      <c r="H12" s="99">
        <v>16</v>
      </c>
      <c r="I12" s="99">
        <v>119</v>
      </c>
      <c r="J12" s="99">
        <v>728</v>
      </c>
      <c r="K12" s="99">
        <v>9</v>
      </c>
      <c r="L12" s="99">
        <v>1451</v>
      </c>
      <c r="M12" s="99">
        <v>578</v>
      </c>
      <c r="N12" s="99">
        <v>282</v>
      </c>
      <c r="O12" s="99">
        <v>167</v>
      </c>
      <c r="P12" s="159">
        <v>167</v>
      </c>
      <c r="Q12" s="99">
        <v>25</v>
      </c>
      <c r="R12" s="99">
        <v>45</v>
      </c>
      <c r="S12" s="99">
        <v>25</v>
      </c>
      <c r="T12" s="99">
        <v>27</v>
      </c>
      <c r="U12" s="99">
        <v>10</v>
      </c>
      <c r="V12" s="99">
        <v>32</v>
      </c>
      <c r="W12" s="99">
        <v>41</v>
      </c>
      <c r="X12" s="99">
        <v>13</v>
      </c>
      <c r="Y12" s="99">
        <v>58</v>
      </c>
      <c r="Z12" s="99">
        <v>47</v>
      </c>
      <c r="AA12" s="99" t="s">
        <v>536</v>
      </c>
      <c r="AB12" s="99" t="s">
        <v>536</v>
      </c>
      <c r="AC12" s="99" t="s">
        <v>536</v>
      </c>
      <c r="AD12" s="98" t="s">
        <v>316</v>
      </c>
      <c r="AE12" s="100">
        <v>0.19341392246769487</v>
      </c>
      <c r="AF12" s="100">
        <v>0.1</v>
      </c>
      <c r="AG12" s="98">
        <v>444.62970682228706</v>
      </c>
      <c r="AH12" s="98">
        <v>222.31485341114353</v>
      </c>
      <c r="AI12" s="100">
        <v>0.017</v>
      </c>
      <c r="AJ12" s="100">
        <v>0.7251</v>
      </c>
      <c r="AK12" s="100">
        <v>0.642857</v>
      </c>
      <c r="AL12" s="100">
        <v>0.813797</v>
      </c>
      <c r="AM12" s="100">
        <v>0.589195</v>
      </c>
      <c r="AN12" s="100">
        <v>0.640909</v>
      </c>
      <c r="AO12" s="98">
        <v>2320.411282478811</v>
      </c>
      <c r="AP12" s="158">
        <v>1.146685181</v>
      </c>
      <c r="AQ12" s="100">
        <v>0.1497005988023952</v>
      </c>
      <c r="AR12" s="100">
        <v>0.5555555555555556</v>
      </c>
      <c r="AS12" s="98">
        <v>347.36695845491175</v>
      </c>
      <c r="AT12" s="98">
        <v>375.1563151313047</v>
      </c>
      <c r="AU12" s="98">
        <v>138.9467833819647</v>
      </c>
      <c r="AV12" s="98">
        <v>444.62970682228706</v>
      </c>
      <c r="AW12" s="98">
        <v>569.6818118660553</v>
      </c>
      <c r="AX12" s="98">
        <v>180.63081839655413</v>
      </c>
      <c r="AY12" s="98">
        <v>805.8913436153953</v>
      </c>
      <c r="AZ12" s="98">
        <v>653.0498818952341</v>
      </c>
      <c r="BA12" s="100" t="s">
        <v>536</v>
      </c>
      <c r="BB12" s="100" t="s">
        <v>536</v>
      </c>
      <c r="BC12" s="100" t="s">
        <v>536</v>
      </c>
      <c r="BD12" s="158">
        <v>0.979363327</v>
      </c>
      <c r="BE12" s="158">
        <v>1.334394989</v>
      </c>
      <c r="BF12" s="162">
        <v>1004</v>
      </c>
      <c r="BG12" s="162">
        <v>14</v>
      </c>
      <c r="BH12" s="162">
        <v>1783</v>
      </c>
      <c r="BI12" s="162">
        <v>981</v>
      </c>
      <c r="BJ12" s="162">
        <v>440</v>
      </c>
      <c r="BK12" s="97"/>
      <c r="BL12" s="97"/>
      <c r="BM12" s="97"/>
      <c r="BN12" s="97"/>
    </row>
    <row r="13" spans="1:66" ht="12.75">
      <c r="A13" s="79" t="s">
        <v>539</v>
      </c>
      <c r="B13" s="79" t="s">
        <v>285</v>
      </c>
      <c r="C13" s="79" t="s">
        <v>231</v>
      </c>
      <c r="D13" s="99">
        <v>8086</v>
      </c>
      <c r="E13" s="99">
        <v>1709</v>
      </c>
      <c r="F13" s="99" t="s">
        <v>337</v>
      </c>
      <c r="G13" s="99">
        <v>37</v>
      </c>
      <c r="H13" s="99">
        <v>23</v>
      </c>
      <c r="I13" s="99">
        <v>145</v>
      </c>
      <c r="J13" s="99">
        <v>871</v>
      </c>
      <c r="K13" s="99" t="s">
        <v>536</v>
      </c>
      <c r="L13" s="99">
        <v>1550</v>
      </c>
      <c r="M13" s="99">
        <v>596</v>
      </c>
      <c r="N13" s="99">
        <v>316</v>
      </c>
      <c r="O13" s="99">
        <v>175</v>
      </c>
      <c r="P13" s="159">
        <v>175</v>
      </c>
      <c r="Q13" s="99">
        <v>26</v>
      </c>
      <c r="R13" s="99">
        <v>46</v>
      </c>
      <c r="S13" s="99">
        <v>34</v>
      </c>
      <c r="T13" s="99">
        <v>30</v>
      </c>
      <c r="U13" s="99">
        <v>6</v>
      </c>
      <c r="V13" s="99">
        <v>30</v>
      </c>
      <c r="W13" s="99">
        <v>35</v>
      </c>
      <c r="X13" s="99">
        <v>25</v>
      </c>
      <c r="Y13" s="99">
        <v>77</v>
      </c>
      <c r="Z13" s="99">
        <v>42</v>
      </c>
      <c r="AA13" s="99" t="s">
        <v>536</v>
      </c>
      <c r="AB13" s="99" t="s">
        <v>536</v>
      </c>
      <c r="AC13" s="99" t="s">
        <v>536</v>
      </c>
      <c r="AD13" s="98" t="s">
        <v>316</v>
      </c>
      <c r="AE13" s="100">
        <v>0.2113529557259461</v>
      </c>
      <c r="AF13" s="100">
        <v>0.1</v>
      </c>
      <c r="AG13" s="98">
        <v>457.58100420479843</v>
      </c>
      <c r="AH13" s="98">
        <v>284.4422458570369</v>
      </c>
      <c r="AI13" s="100">
        <v>0.018000000000000002</v>
      </c>
      <c r="AJ13" s="100">
        <v>0.76203</v>
      </c>
      <c r="AK13" s="100" t="s">
        <v>536</v>
      </c>
      <c r="AL13" s="100">
        <v>0.80062</v>
      </c>
      <c r="AM13" s="100">
        <v>0.541818</v>
      </c>
      <c r="AN13" s="100">
        <v>0.585185</v>
      </c>
      <c r="AO13" s="98">
        <v>2164.2344793470197</v>
      </c>
      <c r="AP13" s="158">
        <v>1.033184052</v>
      </c>
      <c r="AQ13" s="100">
        <v>0.14857142857142858</v>
      </c>
      <c r="AR13" s="100">
        <v>0.5652173913043478</v>
      </c>
      <c r="AS13" s="98">
        <v>420.4798417017067</v>
      </c>
      <c r="AT13" s="98">
        <v>371.0116250309176</v>
      </c>
      <c r="AU13" s="98">
        <v>74.20232500618353</v>
      </c>
      <c r="AV13" s="98">
        <v>371.0116250309176</v>
      </c>
      <c r="AW13" s="98">
        <v>432.8468958694039</v>
      </c>
      <c r="AX13" s="98">
        <v>309.17635419243135</v>
      </c>
      <c r="AY13" s="98">
        <v>952.2631709126886</v>
      </c>
      <c r="AZ13" s="98">
        <v>519.4162750432847</v>
      </c>
      <c r="BA13" s="100" t="s">
        <v>536</v>
      </c>
      <c r="BB13" s="100" t="s">
        <v>536</v>
      </c>
      <c r="BC13" s="100" t="s">
        <v>536</v>
      </c>
      <c r="BD13" s="158">
        <v>0.8857743834999999</v>
      </c>
      <c r="BE13" s="158">
        <v>1.1981137080000002</v>
      </c>
      <c r="BF13" s="162">
        <v>1143</v>
      </c>
      <c r="BG13" s="162" t="s">
        <v>536</v>
      </c>
      <c r="BH13" s="162">
        <v>1936</v>
      </c>
      <c r="BI13" s="162">
        <v>1100</v>
      </c>
      <c r="BJ13" s="162">
        <v>540</v>
      </c>
      <c r="BK13" s="97"/>
      <c r="BL13" s="97"/>
      <c r="BM13" s="97"/>
      <c r="BN13" s="97"/>
    </row>
    <row r="14" spans="1:66" ht="12.75">
      <c r="A14" s="79" t="s">
        <v>513</v>
      </c>
      <c r="B14" s="79" t="s">
        <v>298</v>
      </c>
      <c r="C14" s="79" t="s">
        <v>231</v>
      </c>
      <c r="D14" s="99">
        <v>7168</v>
      </c>
      <c r="E14" s="99">
        <v>1399</v>
      </c>
      <c r="F14" s="99" t="s">
        <v>337</v>
      </c>
      <c r="G14" s="99">
        <v>33</v>
      </c>
      <c r="H14" s="99">
        <v>19</v>
      </c>
      <c r="I14" s="99">
        <v>148</v>
      </c>
      <c r="J14" s="99">
        <v>753</v>
      </c>
      <c r="K14" s="99">
        <v>7</v>
      </c>
      <c r="L14" s="99">
        <v>1409</v>
      </c>
      <c r="M14" s="99">
        <v>593</v>
      </c>
      <c r="N14" s="99">
        <v>268</v>
      </c>
      <c r="O14" s="99">
        <v>280</v>
      </c>
      <c r="P14" s="159">
        <v>280</v>
      </c>
      <c r="Q14" s="99">
        <v>26</v>
      </c>
      <c r="R14" s="99">
        <v>41</v>
      </c>
      <c r="S14" s="99">
        <v>24</v>
      </c>
      <c r="T14" s="99">
        <v>49</v>
      </c>
      <c r="U14" s="99">
        <v>15</v>
      </c>
      <c r="V14" s="99">
        <v>52</v>
      </c>
      <c r="W14" s="99">
        <v>44</v>
      </c>
      <c r="X14" s="99">
        <v>30</v>
      </c>
      <c r="Y14" s="99">
        <v>96</v>
      </c>
      <c r="Z14" s="99">
        <v>43</v>
      </c>
      <c r="AA14" s="99" t="s">
        <v>536</v>
      </c>
      <c r="AB14" s="99" t="s">
        <v>536</v>
      </c>
      <c r="AC14" s="99" t="s">
        <v>536</v>
      </c>
      <c r="AD14" s="98" t="s">
        <v>316</v>
      </c>
      <c r="AE14" s="100">
        <v>0.19517299107142858</v>
      </c>
      <c r="AF14" s="100">
        <v>0.11</v>
      </c>
      <c r="AG14" s="98">
        <v>460.3794642857143</v>
      </c>
      <c r="AH14" s="98">
        <v>265.0669642857143</v>
      </c>
      <c r="AI14" s="100">
        <v>0.021</v>
      </c>
      <c r="AJ14" s="100">
        <v>0.743337</v>
      </c>
      <c r="AK14" s="100">
        <v>0.466667</v>
      </c>
      <c r="AL14" s="100">
        <v>0.818235</v>
      </c>
      <c r="AM14" s="100">
        <v>0.596579</v>
      </c>
      <c r="AN14" s="100">
        <v>0.629108</v>
      </c>
      <c r="AO14" s="98">
        <v>3906.25</v>
      </c>
      <c r="AP14" s="158">
        <v>1.938351288</v>
      </c>
      <c r="AQ14" s="100">
        <v>0.09285714285714286</v>
      </c>
      <c r="AR14" s="100">
        <v>0.6341463414634146</v>
      </c>
      <c r="AS14" s="98">
        <v>334.82142857142856</v>
      </c>
      <c r="AT14" s="98">
        <v>683.59375</v>
      </c>
      <c r="AU14" s="98">
        <v>209.26339285714286</v>
      </c>
      <c r="AV14" s="98">
        <v>725.4464285714286</v>
      </c>
      <c r="AW14" s="98">
        <v>613.8392857142857</v>
      </c>
      <c r="AX14" s="98">
        <v>418.5267857142857</v>
      </c>
      <c r="AY14" s="98">
        <v>1339.2857142857142</v>
      </c>
      <c r="AZ14" s="98">
        <v>599.8883928571429</v>
      </c>
      <c r="BA14" s="100" t="s">
        <v>536</v>
      </c>
      <c r="BB14" s="100" t="s">
        <v>536</v>
      </c>
      <c r="BC14" s="100" t="s">
        <v>536</v>
      </c>
      <c r="BD14" s="158">
        <v>1.7179379270000001</v>
      </c>
      <c r="BE14" s="158">
        <v>2.179202728</v>
      </c>
      <c r="BF14" s="162">
        <v>1013</v>
      </c>
      <c r="BG14" s="162">
        <v>15</v>
      </c>
      <c r="BH14" s="162">
        <v>1722</v>
      </c>
      <c r="BI14" s="162">
        <v>994</v>
      </c>
      <c r="BJ14" s="162">
        <v>426</v>
      </c>
      <c r="BK14" s="97"/>
      <c r="BL14" s="97"/>
      <c r="BM14" s="97"/>
      <c r="BN14" s="97"/>
    </row>
    <row r="15" spans="1:66" ht="12.75">
      <c r="A15" s="79" t="s">
        <v>543</v>
      </c>
      <c r="B15" s="79" t="s">
        <v>299</v>
      </c>
      <c r="C15" s="79" t="s">
        <v>231</v>
      </c>
      <c r="D15" s="99">
        <v>9784</v>
      </c>
      <c r="E15" s="99">
        <v>2288</v>
      </c>
      <c r="F15" s="99" t="s">
        <v>337</v>
      </c>
      <c r="G15" s="99">
        <v>53</v>
      </c>
      <c r="H15" s="99">
        <v>20</v>
      </c>
      <c r="I15" s="99">
        <v>227</v>
      </c>
      <c r="J15" s="99">
        <v>1031</v>
      </c>
      <c r="K15" s="99">
        <v>8</v>
      </c>
      <c r="L15" s="99">
        <v>1924</v>
      </c>
      <c r="M15" s="99">
        <v>927</v>
      </c>
      <c r="N15" s="99">
        <v>469</v>
      </c>
      <c r="O15" s="99">
        <v>194</v>
      </c>
      <c r="P15" s="159">
        <v>194</v>
      </c>
      <c r="Q15" s="99">
        <v>32</v>
      </c>
      <c r="R15" s="99">
        <v>50</v>
      </c>
      <c r="S15" s="99">
        <v>25</v>
      </c>
      <c r="T15" s="99">
        <v>33</v>
      </c>
      <c r="U15" s="99">
        <v>8</v>
      </c>
      <c r="V15" s="99">
        <v>18</v>
      </c>
      <c r="W15" s="99">
        <v>47</v>
      </c>
      <c r="X15" s="99">
        <v>36</v>
      </c>
      <c r="Y15" s="99">
        <v>121</v>
      </c>
      <c r="Z15" s="99">
        <v>41</v>
      </c>
      <c r="AA15" s="99" t="s">
        <v>536</v>
      </c>
      <c r="AB15" s="99" t="s">
        <v>536</v>
      </c>
      <c r="AC15" s="99" t="s">
        <v>536</v>
      </c>
      <c r="AD15" s="98" t="s">
        <v>316</v>
      </c>
      <c r="AE15" s="100">
        <v>0.2338511856091578</v>
      </c>
      <c r="AF15" s="100">
        <v>0.12</v>
      </c>
      <c r="AG15" s="98">
        <v>541.7007358953393</v>
      </c>
      <c r="AH15" s="98">
        <v>204.4153720359771</v>
      </c>
      <c r="AI15" s="100">
        <v>0.023</v>
      </c>
      <c r="AJ15" s="100">
        <v>0.714979</v>
      </c>
      <c r="AK15" s="100">
        <v>0.615385</v>
      </c>
      <c r="AL15" s="100">
        <v>0.772071</v>
      </c>
      <c r="AM15" s="100">
        <v>0.59007</v>
      </c>
      <c r="AN15" s="100">
        <v>0.652295</v>
      </c>
      <c r="AO15" s="98">
        <v>1982.829108748978</v>
      </c>
      <c r="AP15" s="158">
        <v>0.8593330383</v>
      </c>
      <c r="AQ15" s="100">
        <v>0.16494845360824742</v>
      </c>
      <c r="AR15" s="100">
        <v>0.64</v>
      </c>
      <c r="AS15" s="98">
        <v>255.5192150449714</v>
      </c>
      <c r="AT15" s="98">
        <v>337.28536385936223</v>
      </c>
      <c r="AU15" s="98">
        <v>81.76614881439085</v>
      </c>
      <c r="AV15" s="98">
        <v>183.9738348323794</v>
      </c>
      <c r="AW15" s="98">
        <v>480.3761242845462</v>
      </c>
      <c r="AX15" s="98">
        <v>367.9476696647588</v>
      </c>
      <c r="AY15" s="98">
        <v>1236.7130008176614</v>
      </c>
      <c r="AZ15" s="98">
        <v>419.05151267375305</v>
      </c>
      <c r="BA15" s="100" t="s">
        <v>536</v>
      </c>
      <c r="BB15" s="100" t="s">
        <v>536</v>
      </c>
      <c r="BC15" s="100" t="s">
        <v>536</v>
      </c>
      <c r="BD15" s="158">
        <v>0.7426586151</v>
      </c>
      <c r="BE15" s="158">
        <v>0.9891362762</v>
      </c>
      <c r="BF15" s="162">
        <v>1442</v>
      </c>
      <c r="BG15" s="162">
        <v>13</v>
      </c>
      <c r="BH15" s="162">
        <v>2492</v>
      </c>
      <c r="BI15" s="162">
        <v>1571</v>
      </c>
      <c r="BJ15" s="162">
        <v>719</v>
      </c>
      <c r="BK15" s="97"/>
      <c r="BL15" s="97"/>
      <c r="BM15" s="97"/>
      <c r="BN15" s="97"/>
    </row>
    <row r="16" spans="1:66" ht="12.75">
      <c r="A16" s="79" t="s">
        <v>509</v>
      </c>
      <c r="B16" s="79" t="s">
        <v>292</v>
      </c>
      <c r="C16" s="79" t="s">
        <v>231</v>
      </c>
      <c r="D16" s="99">
        <v>9129</v>
      </c>
      <c r="E16" s="99">
        <v>2104</v>
      </c>
      <c r="F16" s="99" t="s">
        <v>337</v>
      </c>
      <c r="G16" s="99">
        <v>45</v>
      </c>
      <c r="H16" s="99">
        <v>23</v>
      </c>
      <c r="I16" s="99">
        <v>178</v>
      </c>
      <c r="J16" s="99">
        <v>958</v>
      </c>
      <c r="K16" s="99">
        <v>15</v>
      </c>
      <c r="L16" s="99">
        <v>1821</v>
      </c>
      <c r="M16" s="99">
        <v>843</v>
      </c>
      <c r="N16" s="99">
        <v>429</v>
      </c>
      <c r="O16" s="99">
        <v>144</v>
      </c>
      <c r="P16" s="159">
        <v>144</v>
      </c>
      <c r="Q16" s="99">
        <v>27</v>
      </c>
      <c r="R16" s="99">
        <v>47</v>
      </c>
      <c r="S16" s="99">
        <v>25</v>
      </c>
      <c r="T16" s="99">
        <v>26</v>
      </c>
      <c r="U16" s="99">
        <v>11</v>
      </c>
      <c r="V16" s="99">
        <v>15</v>
      </c>
      <c r="W16" s="99">
        <v>44</v>
      </c>
      <c r="X16" s="99">
        <v>39</v>
      </c>
      <c r="Y16" s="99">
        <v>76</v>
      </c>
      <c r="Z16" s="99">
        <v>66</v>
      </c>
      <c r="AA16" s="99" t="s">
        <v>536</v>
      </c>
      <c r="AB16" s="99" t="s">
        <v>536</v>
      </c>
      <c r="AC16" s="99" t="s">
        <v>536</v>
      </c>
      <c r="AD16" s="98" t="s">
        <v>316</v>
      </c>
      <c r="AE16" s="100">
        <v>0.23047431263007997</v>
      </c>
      <c r="AF16" s="100">
        <v>0.12</v>
      </c>
      <c r="AG16" s="98">
        <v>492.93460400920145</v>
      </c>
      <c r="AH16" s="98">
        <v>251.94435316025852</v>
      </c>
      <c r="AI16" s="100">
        <v>0.019</v>
      </c>
      <c r="AJ16" s="100">
        <v>0.72466</v>
      </c>
      <c r="AK16" s="100">
        <v>0.555556</v>
      </c>
      <c r="AL16" s="100">
        <v>0.761925</v>
      </c>
      <c r="AM16" s="100">
        <v>0.57978</v>
      </c>
      <c r="AN16" s="100">
        <v>0.646084</v>
      </c>
      <c r="AO16" s="98">
        <v>1577.3907328294447</v>
      </c>
      <c r="AP16" s="158">
        <v>0.6801935577</v>
      </c>
      <c r="AQ16" s="100">
        <v>0.1875</v>
      </c>
      <c r="AR16" s="100">
        <v>0.574468085106383</v>
      </c>
      <c r="AS16" s="98">
        <v>273.8525577828897</v>
      </c>
      <c r="AT16" s="98">
        <v>284.80666009420526</v>
      </c>
      <c r="AU16" s="98">
        <v>120.49512542447147</v>
      </c>
      <c r="AV16" s="98">
        <v>164.31153466973382</v>
      </c>
      <c r="AW16" s="98">
        <v>481.98050169788587</v>
      </c>
      <c r="AX16" s="98">
        <v>427.2099901413079</v>
      </c>
      <c r="AY16" s="98">
        <v>832.5117756599847</v>
      </c>
      <c r="AZ16" s="98">
        <v>722.9707525468287</v>
      </c>
      <c r="BA16" s="100" t="s">
        <v>536</v>
      </c>
      <c r="BB16" s="100" t="s">
        <v>536</v>
      </c>
      <c r="BC16" s="100" t="s">
        <v>536</v>
      </c>
      <c r="BD16" s="158">
        <v>0.5736365890999999</v>
      </c>
      <c r="BE16" s="158">
        <v>0.8008027649</v>
      </c>
      <c r="BF16" s="162">
        <v>1322</v>
      </c>
      <c r="BG16" s="162">
        <v>27</v>
      </c>
      <c r="BH16" s="162">
        <v>2390</v>
      </c>
      <c r="BI16" s="162">
        <v>1454</v>
      </c>
      <c r="BJ16" s="162">
        <v>664</v>
      </c>
      <c r="BK16" s="97"/>
      <c r="BL16" s="97"/>
      <c r="BM16" s="97"/>
      <c r="BN16" s="97"/>
    </row>
    <row r="17" spans="1:66" ht="12.75">
      <c r="A17" s="79" t="s">
        <v>514</v>
      </c>
      <c r="B17" s="79" t="s">
        <v>300</v>
      </c>
      <c r="C17" s="79" t="s">
        <v>231</v>
      </c>
      <c r="D17" s="99">
        <v>6378</v>
      </c>
      <c r="E17" s="99">
        <v>1297</v>
      </c>
      <c r="F17" s="99" t="s">
        <v>337</v>
      </c>
      <c r="G17" s="99">
        <v>37</v>
      </c>
      <c r="H17" s="99">
        <v>19</v>
      </c>
      <c r="I17" s="99">
        <v>114</v>
      </c>
      <c r="J17" s="99">
        <v>680</v>
      </c>
      <c r="K17" s="99" t="s">
        <v>536</v>
      </c>
      <c r="L17" s="99">
        <v>1268</v>
      </c>
      <c r="M17" s="99">
        <v>510</v>
      </c>
      <c r="N17" s="99">
        <v>253</v>
      </c>
      <c r="O17" s="99">
        <v>118</v>
      </c>
      <c r="P17" s="159">
        <v>118</v>
      </c>
      <c r="Q17" s="99">
        <v>21</v>
      </c>
      <c r="R17" s="99">
        <v>35</v>
      </c>
      <c r="S17" s="99">
        <v>14</v>
      </c>
      <c r="T17" s="99">
        <v>28</v>
      </c>
      <c r="U17" s="99">
        <v>11</v>
      </c>
      <c r="V17" s="99">
        <v>12</v>
      </c>
      <c r="W17" s="99">
        <v>35</v>
      </c>
      <c r="X17" s="99">
        <v>18</v>
      </c>
      <c r="Y17" s="99">
        <v>66</v>
      </c>
      <c r="Z17" s="99">
        <v>32</v>
      </c>
      <c r="AA17" s="99" t="s">
        <v>536</v>
      </c>
      <c r="AB17" s="99" t="s">
        <v>536</v>
      </c>
      <c r="AC17" s="99" t="s">
        <v>536</v>
      </c>
      <c r="AD17" s="98" t="s">
        <v>316</v>
      </c>
      <c r="AE17" s="100">
        <v>0.2033552837880213</v>
      </c>
      <c r="AF17" s="100">
        <v>0.1</v>
      </c>
      <c r="AG17" s="98">
        <v>580.1191596111634</v>
      </c>
      <c r="AH17" s="98">
        <v>297.89902790843524</v>
      </c>
      <c r="AI17" s="100">
        <v>0.018000000000000002</v>
      </c>
      <c r="AJ17" s="100">
        <v>0.788863</v>
      </c>
      <c r="AK17" s="100" t="s">
        <v>536</v>
      </c>
      <c r="AL17" s="100">
        <v>0.846462</v>
      </c>
      <c r="AM17" s="100">
        <v>0.581528</v>
      </c>
      <c r="AN17" s="100">
        <v>0.614078</v>
      </c>
      <c r="AO17" s="98">
        <v>1850.1097522734399</v>
      </c>
      <c r="AP17" s="158">
        <v>0.890381546</v>
      </c>
      <c r="AQ17" s="100">
        <v>0.17796610169491525</v>
      </c>
      <c r="AR17" s="100">
        <v>0.6</v>
      </c>
      <c r="AS17" s="98">
        <v>219.50454687989966</v>
      </c>
      <c r="AT17" s="98">
        <v>439.0090937597993</v>
      </c>
      <c r="AU17" s="98">
        <v>172.4678582627783</v>
      </c>
      <c r="AV17" s="98">
        <v>188.14675446848543</v>
      </c>
      <c r="AW17" s="98">
        <v>548.7613671997491</v>
      </c>
      <c r="AX17" s="98">
        <v>282.2201317027281</v>
      </c>
      <c r="AY17" s="98">
        <v>1034.8071495766699</v>
      </c>
      <c r="AZ17" s="98">
        <v>501.7246785826278</v>
      </c>
      <c r="BA17" s="100" t="s">
        <v>536</v>
      </c>
      <c r="BB17" s="100" t="s">
        <v>536</v>
      </c>
      <c r="BC17" s="100" t="s">
        <v>536</v>
      </c>
      <c r="BD17" s="158">
        <v>0.7369923401</v>
      </c>
      <c r="BE17" s="158">
        <v>1.066281128</v>
      </c>
      <c r="BF17" s="162">
        <v>862</v>
      </c>
      <c r="BG17" s="162" t="s">
        <v>536</v>
      </c>
      <c r="BH17" s="162">
        <v>1498</v>
      </c>
      <c r="BI17" s="162">
        <v>877</v>
      </c>
      <c r="BJ17" s="162">
        <v>412</v>
      </c>
      <c r="BK17" s="97"/>
      <c r="BL17" s="97"/>
      <c r="BM17" s="97"/>
      <c r="BN17" s="97"/>
    </row>
    <row r="18" spans="1:66" ht="12.75">
      <c r="A18" s="79" t="s">
        <v>515</v>
      </c>
      <c r="B18" s="79" t="s">
        <v>301</v>
      </c>
      <c r="C18" s="79" t="s">
        <v>231</v>
      </c>
      <c r="D18" s="99">
        <v>4347</v>
      </c>
      <c r="E18" s="99">
        <v>972</v>
      </c>
      <c r="F18" s="99" t="s">
        <v>337</v>
      </c>
      <c r="G18" s="99">
        <v>24</v>
      </c>
      <c r="H18" s="99">
        <v>7</v>
      </c>
      <c r="I18" s="99">
        <v>88</v>
      </c>
      <c r="J18" s="99">
        <v>473</v>
      </c>
      <c r="K18" s="99" t="s">
        <v>536</v>
      </c>
      <c r="L18" s="99">
        <v>817</v>
      </c>
      <c r="M18" s="99">
        <v>428</v>
      </c>
      <c r="N18" s="99">
        <v>206</v>
      </c>
      <c r="O18" s="99">
        <v>70</v>
      </c>
      <c r="P18" s="159">
        <v>70</v>
      </c>
      <c r="Q18" s="99">
        <v>8</v>
      </c>
      <c r="R18" s="99">
        <v>21</v>
      </c>
      <c r="S18" s="99">
        <v>16</v>
      </c>
      <c r="T18" s="99">
        <v>15</v>
      </c>
      <c r="U18" s="99" t="s">
        <v>536</v>
      </c>
      <c r="V18" s="99" t="s">
        <v>536</v>
      </c>
      <c r="W18" s="99">
        <v>23</v>
      </c>
      <c r="X18" s="99">
        <v>8</v>
      </c>
      <c r="Y18" s="99">
        <v>31</v>
      </c>
      <c r="Z18" s="99">
        <v>12</v>
      </c>
      <c r="AA18" s="99" t="s">
        <v>536</v>
      </c>
      <c r="AB18" s="99" t="s">
        <v>536</v>
      </c>
      <c r="AC18" s="99" t="s">
        <v>536</v>
      </c>
      <c r="AD18" s="98" t="s">
        <v>316</v>
      </c>
      <c r="AE18" s="100">
        <v>0.2236024844720497</v>
      </c>
      <c r="AF18" s="100">
        <v>0.1</v>
      </c>
      <c r="AG18" s="98">
        <v>552.1048999309869</v>
      </c>
      <c r="AH18" s="98">
        <v>161.0305958132045</v>
      </c>
      <c r="AI18" s="100">
        <v>0.02</v>
      </c>
      <c r="AJ18" s="100">
        <v>0.718845</v>
      </c>
      <c r="AK18" s="100" t="s">
        <v>536</v>
      </c>
      <c r="AL18" s="100">
        <v>0.811321</v>
      </c>
      <c r="AM18" s="100">
        <v>0.603667</v>
      </c>
      <c r="AN18" s="100">
        <v>0.641745</v>
      </c>
      <c r="AO18" s="98">
        <v>1610.3059581320451</v>
      </c>
      <c r="AP18" s="158">
        <v>0.7473318481</v>
      </c>
      <c r="AQ18" s="100">
        <v>0.11428571428571428</v>
      </c>
      <c r="AR18" s="100">
        <v>0.38095238095238093</v>
      </c>
      <c r="AS18" s="98">
        <v>368.0699332873246</v>
      </c>
      <c r="AT18" s="98">
        <v>345.0655624568668</v>
      </c>
      <c r="AU18" s="98" t="s">
        <v>536</v>
      </c>
      <c r="AV18" s="98" t="s">
        <v>536</v>
      </c>
      <c r="AW18" s="98">
        <v>529.1005291005291</v>
      </c>
      <c r="AX18" s="98">
        <v>184.0349666436623</v>
      </c>
      <c r="AY18" s="98">
        <v>713.1354957441914</v>
      </c>
      <c r="AZ18" s="98">
        <v>276.05244996549345</v>
      </c>
      <c r="BA18" s="100" t="s">
        <v>536</v>
      </c>
      <c r="BB18" s="100" t="s">
        <v>536</v>
      </c>
      <c r="BC18" s="100" t="s">
        <v>536</v>
      </c>
      <c r="BD18" s="158">
        <v>0.5825818253</v>
      </c>
      <c r="BE18" s="158">
        <v>0.9442088318</v>
      </c>
      <c r="BF18" s="162">
        <v>658</v>
      </c>
      <c r="BG18" s="162" t="s">
        <v>536</v>
      </c>
      <c r="BH18" s="162">
        <v>1007</v>
      </c>
      <c r="BI18" s="162">
        <v>709</v>
      </c>
      <c r="BJ18" s="162">
        <v>321</v>
      </c>
      <c r="BK18" s="97"/>
      <c r="BL18" s="97"/>
      <c r="BM18" s="97"/>
      <c r="BN18" s="97"/>
    </row>
    <row r="19" spans="1:66" ht="12.75">
      <c r="A19" s="79" t="s">
        <v>521</v>
      </c>
      <c r="B19" s="79" t="s">
        <v>308</v>
      </c>
      <c r="C19" s="79" t="s">
        <v>231</v>
      </c>
      <c r="D19" s="99">
        <v>1461</v>
      </c>
      <c r="E19" s="99">
        <v>280</v>
      </c>
      <c r="F19" s="99" t="s">
        <v>338</v>
      </c>
      <c r="G19" s="99">
        <v>13</v>
      </c>
      <c r="H19" s="99">
        <v>6</v>
      </c>
      <c r="I19" s="99">
        <v>30</v>
      </c>
      <c r="J19" s="99">
        <v>128</v>
      </c>
      <c r="K19" s="99">
        <v>126</v>
      </c>
      <c r="L19" s="99">
        <v>247</v>
      </c>
      <c r="M19" s="99">
        <v>88</v>
      </c>
      <c r="N19" s="99">
        <v>32</v>
      </c>
      <c r="O19" s="99">
        <v>39</v>
      </c>
      <c r="P19" s="159">
        <v>39</v>
      </c>
      <c r="Q19" s="99" t="s">
        <v>536</v>
      </c>
      <c r="R19" s="99">
        <v>8</v>
      </c>
      <c r="S19" s="99" t="s">
        <v>536</v>
      </c>
      <c r="T19" s="99" t="s">
        <v>536</v>
      </c>
      <c r="U19" s="99" t="s">
        <v>536</v>
      </c>
      <c r="V19" s="99">
        <v>14</v>
      </c>
      <c r="W19" s="99" t="s">
        <v>536</v>
      </c>
      <c r="X19" s="99">
        <v>8</v>
      </c>
      <c r="Y19" s="99">
        <v>25</v>
      </c>
      <c r="Z19" s="99">
        <v>15</v>
      </c>
      <c r="AA19" s="99" t="s">
        <v>536</v>
      </c>
      <c r="AB19" s="99" t="s">
        <v>536</v>
      </c>
      <c r="AC19" s="99" t="s">
        <v>536</v>
      </c>
      <c r="AD19" s="98" t="s">
        <v>316</v>
      </c>
      <c r="AE19" s="100">
        <v>0.19164955509924708</v>
      </c>
      <c r="AF19" s="100">
        <v>0.17</v>
      </c>
      <c r="AG19" s="98">
        <v>889.8015058179329</v>
      </c>
      <c r="AH19" s="98">
        <v>410.6776180698152</v>
      </c>
      <c r="AI19" s="100">
        <v>0.021</v>
      </c>
      <c r="AJ19" s="100">
        <v>0.618357</v>
      </c>
      <c r="AK19" s="100">
        <v>0.626866</v>
      </c>
      <c r="AL19" s="100">
        <v>0.741742</v>
      </c>
      <c r="AM19" s="100">
        <v>0.44898</v>
      </c>
      <c r="AN19" s="100">
        <v>0.415584</v>
      </c>
      <c r="AO19" s="98">
        <v>2669.4045174537987</v>
      </c>
      <c r="AP19" s="158">
        <v>1.281250153</v>
      </c>
      <c r="AQ19" s="100" t="s">
        <v>536</v>
      </c>
      <c r="AR19" s="100" t="s">
        <v>536</v>
      </c>
      <c r="AS19" s="98" t="s">
        <v>536</v>
      </c>
      <c r="AT19" s="98" t="s">
        <v>536</v>
      </c>
      <c r="AU19" s="98" t="s">
        <v>536</v>
      </c>
      <c r="AV19" s="98">
        <v>958.2477754962355</v>
      </c>
      <c r="AW19" s="98" t="s">
        <v>536</v>
      </c>
      <c r="AX19" s="98">
        <v>547.5701574264202</v>
      </c>
      <c r="AY19" s="98">
        <v>1711.1567419575633</v>
      </c>
      <c r="AZ19" s="98">
        <v>1026.694045174538</v>
      </c>
      <c r="BA19" s="100" t="s">
        <v>536</v>
      </c>
      <c r="BB19" s="100" t="s">
        <v>536</v>
      </c>
      <c r="BC19" s="100" t="s">
        <v>536</v>
      </c>
      <c r="BD19" s="158">
        <v>0.9110940552</v>
      </c>
      <c r="BE19" s="158">
        <v>1.751511078</v>
      </c>
      <c r="BF19" s="162">
        <v>207</v>
      </c>
      <c r="BG19" s="162">
        <v>201</v>
      </c>
      <c r="BH19" s="162">
        <v>333</v>
      </c>
      <c r="BI19" s="162">
        <v>196</v>
      </c>
      <c r="BJ19" s="162">
        <v>77</v>
      </c>
      <c r="BK19" s="97"/>
      <c r="BL19" s="97"/>
      <c r="BM19" s="97"/>
      <c r="BN19" s="97"/>
    </row>
    <row r="20" spans="1:66" ht="12.75">
      <c r="A20" s="79" t="s">
        <v>540</v>
      </c>
      <c r="B20" s="79" t="s">
        <v>289</v>
      </c>
      <c r="C20" s="79" t="s">
        <v>231</v>
      </c>
      <c r="D20" s="99">
        <v>10160</v>
      </c>
      <c r="E20" s="99">
        <v>1883</v>
      </c>
      <c r="F20" s="99" t="s">
        <v>338</v>
      </c>
      <c r="G20" s="99">
        <v>51</v>
      </c>
      <c r="H20" s="99">
        <v>20</v>
      </c>
      <c r="I20" s="99">
        <v>211</v>
      </c>
      <c r="J20" s="99">
        <v>1031</v>
      </c>
      <c r="K20" s="99" t="s">
        <v>536</v>
      </c>
      <c r="L20" s="99">
        <v>1893</v>
      </c>
      <c r="M20" s="99">
        <v>789</v>
      </c>
      <c r="N20" s="99">
        <v>395</v>
      </c>
      <c r="O20" s="99">
        <v>342</v>
      </c>
      <c r="P20" s="159">
        <v>342</v>
      </c>
      <c r="Q20" s="99">
        <v>31</v>
      </c>
      <c r="R20" s="99">
        <v>60</v>
      </c>
      <c r="S20" s="99">
        <v>64</v>
      </c>
      <c r="T20" s="99">
        <v>54</v>
      </c>
      <c r="U20" s="99">
        <v>11</v>
      </c>
      <c r="V20" s="99">
        <v>42</v>
      </c>
      <c r="W20" s="99">
        <v>72</v>
      </c>
      <c r="X20" s="99">
        <v>50</v>
      </c>
      <c r="Y20" s="99">
        <v>142</v>
      </c>
      <c r="Z20" s="99">
        <v>63</v>
      </c>
      <c r="AA20" s="99" t="s">
        <v>536</v>
      </c>
      <c r="AB20" s="99" t="s">
        <v>536</v>
      </c>
      <c r="AC20" s="99" t="s">
        <v>536</v>
      </c>
      <c r="AD20" s="98" t="s">
        <v>316</v>
      </c>
      <c r="AE20" s="100">
        <v>0.18533464566929134</v>
      </c>
      <c r="AF20" s="100">
        <v>0.13</v>
      </c>
      <c r="AG20" s="98">
        <v>501.9685039370079</v>
      </c>
      <c r="AH20" s="98">
        <v>196.8503937007874</v>
      </c>
      <c r="AI20" s="100">
        <v>0.021</v>
      </c>
      <c r="AJ20" s="100">
        <v>0.716968</v>
      </c>
      <c r="AK20" s="100" t="s">
        <v>536</v>
      </c>
      <c r="AL20" s="100">
        <v>0.779654</v>
      </c>
      <c r="AM20" s="100">
        <v>0.549826</v>
      </c>
      <c r="AN20" s="100">
        <v>0.590433</v>
      </c>
      <c r="AO20" s="98">
        <v>3366.1417322834645</v>
      </c>
      <c r="AP20" s="158">
        <v>1.692978516</v>
      </c>
      <c r="AQ20" s="100">
        <v>0.09064327485380116</v>
      </c>
      <c r="AR20" s="100">
        <v>0.5166666666666667</v>
      </c>
      <c r="AS20" s="98">
        <v>629.9212598425197</v>
      </c>
      <c r="AT20" s="98">
        <v>531.496062992126</v>
      </c>
      <c r="AU20" s="98">
        <v>108.26771653543307</v>
      </c>
      <c r="AV20" s="98">
        <v>413.38582677165357</v>
      </c>
      <c r="AW20" s="98">
        <v>708.6614173228346</v>
      </c>
      <c r="AX20" s="98">
        <v>492.12598425196853</v>
      </c>
      <c r="AY20" s="98">
        <v>1397.6377952755906</v>
      </c>
      <c r="AZ20" s="98">
        <v>620.0787401574803</v>
      </c>
      <c r="BA20" s="100" t="s">
        <v>536</v>
      </c>
      <c r="BB20" s="100" t="s">
        <v>536</v>
      </c>
      <c r="BC20" s="100" t="s">
        <v>536</v>
      </c>
      <c r="BD20" s="158">
        <v>1.518285675</v>
      </c>
      <c r="BE20" s="158">
        <v>1.882259064</v>
      </c>
      <c r="BF20" s="162">
        <v>1438</v>
      </c>
      <c r="BG20" s="162" t="s">
        <v>536</v>
      </c>
      <c r="BH20" s="162">
        <v>2428</v>
      </c>
      <c r="BI20" s="162">
        <v>1435</v>
      </c>
      <c r="BJ20" s="162">
        <v>669</v>
      </c>
      <c r="BK20" s="97"/>
      <c r="BL20" s="97"/>
      <c r="BM20" s="97"/>
      <c r="BN20" s="97"/>
    </row>
    <row r="21" spans="1:66" ht="12.75">
      <c r="A21" s="79" t="s">
        <v>541</v>
      </c>
      <c r="B21" s="79" t="s">
        <v>296</v>
      </c>
      <c r="C21" s="79" t="s">
        <v>231</v>
      </c>
      <c r="D21" s="99">
        <v>7599</v>
      </c>
      <c r="E21" s="99">
        <v>1482</v>
      </c>
      <c r="F21" s="99" t="s">
        <v>337</v>
      </c>
      <c r="G21" s="99">
        <v>34</v>
      </c>
      <c r="H21" s="99">
        <v>19</v>
      </c>
      <c r="I21" s="99">
        <v>119</v>
      </c>
      <c r="J21" s="99">
        <v>774</v>
      </c>
      <c r="K21" s="99" t="s">
        <v>536</v>
      </c>
      <c r="L21" s="99">
        <v>1484</v>
      </c>
      <c r="M21" s="99">
        <v>561</v>
      </c>
      <c r="N21" s="99">
        <v>289</v>
      </c>
      <c r="O21" s="99">
        <v>185</v>
      </c>
      <c r="P21" s="159">
        <v>185</v>
      </c>
      <c r="Q21" s="99">
        <v>16</v>
      </c>
      <c r="R21" s="99">
        <v>27</v>
      </c>
      <c r="S21" s="99">
        <v>30</v>
      </c>
      <c r="T21" s="99">
        <v>42</v>
      </c>
      <c r="U21" s="99">
        <v>7</v>
      </c>
      <c r="V21" s="99">
        <v>32</v>
      </c>
      <c r="W21" s="99">
        <v>33</v>
      </c>
      <c r="X21" s="99">
        <v>35</v>
      </c>
      <c r="Y21" s="99">
        <v>80</v>
      </c>
      <c r="Z21" s="99">
        <v>31</v>
      </c>
      <c r="AA21" s="99" t="s">
        <v>536</v>
      </c>
      <c r="AB21" s="99" t="s">
        <v>536</v>
      </c>
      <c r="AC21" s="99" t="s">
        <v>536</v>
      </c>
      <c r="AD21" s="98" t="s">
        <v>316</v>
      </c>
      <c r="AE21" s="100">
        <v>0.1950256612712199</v>
      </c>
      <c r="AF21" s="100">
        <v>0.11</v>
      </c>
      <c r="AG21" s="98">
        <v>447.42729306487695</v>
      </c>
      <c r="AH21" s="98">
        <v>250.03289906566653</v>
      </c>
      <c r="AI21" s="100">
        <v>0.016</v>
      </c>
      <c r="AJ21" s="100">
        <v>0.748549</v>
      </c>
      <c r="AK21" s="100" t="s">
        <v>536</v>
      </c>
      <c r="AL21" s="100">
        <v>0.803465</v>
      </c>
      <c r="AM21" s="100">
        <v>0.574207</v>
      </c>
      <c r="AN21" s="100">
        <v>0.645089</v>
      </c>
      <c r="AO21" s="98">
        <v>2434.530859323595</v>
      </c>
      <c r="AP21" s="158">
        <v>1.1917990109999999</v>
      </c>
      <c r="AQ21" s="100">
        <v>0.08648648648648649</v>
      </c>
      <c r="AR21" s="100">
        <v>0.5925925925925926</v>
      </c>
      <c r="AS21" s="98">
        <v>394.78878799842084</v>
      </c>
      <c r="AT21" s="98">
        <v>552.7043031977892</v>
      </c>
      <c r="AU21" s="98">
        <v>92.1173838662982</v>
      </c>
      <c r="AV21" s="98">
        <v>421.1080405316489</v>
      </c>
      <c r="AW21" s="98">
        <v>434.26766679826295</v>
      </c>
      <c r="AX21" s="98">
        <v>460.586919331491</v>
      </c>
      <c r="AY21" s="98">
        <v>1052.7701013291223</v>
      </c>
      <c r="AZ21" s="98">
        <v>407.9484142650349</v>
      </c>
      <c r="BA21" s="100" t="s">
        <v>536</v>
      </c>
      <c r="BB21" s="100" t="s">
        <v>536</v>
      </c>
      <c r="BC21" s="100" t="s">
        <v>536</v>
      </c>
      <c r="BD21" s="158">
        <v>1.026242142</v>
      </c>
      <c r="BE21" s="158">
        <v>1.376460419</v>
      </c>
      <c r="BF21" s="162">
        <v>1034</v>
      </c>
      <c r="BG21" s="162" t="s">
        <v>536</v>
      </c>
      <c r="BH21" s="162">
        <v>1847</v>
      </c>
      <c r="BI21" s="162">
        <v>977</v>
      </c>
      <c r="BJ21" s="162">
        <v>448</v>
      </c>
      <c r="BK21" s="97"/>
      <c r="BL21" s="97"/>
      <c r="BM21" s="97"/>
      <c r="BN21" s="97"/>
    </row>
    <row r="22" spans="1:66" ht="12.75">
      <c r="A22" s="79" t="s">
        <v>501</v>
      </c>
      <c r="B22" s="79" t="s">
        <v>282</v>
      </c>
      <c r="C22" s="79" t="s">
        <v>231</v>
      </c>
      <c r="D22" s="99">
        <v>7132</v>
      </c>
      <c r="E22" s="99">
        <v>1329</v>
      </c>
      <c r="F22" s="99" t="s">
        <v>336</v>
      </c>
      <c r="G22" s="99">
        <v>39</v>
      </c>
      <c r="H22" s="99">
        <v>22</v>
      </c>
      <c r="I22" s="99">
        <v>98</v>
      </c>
      <c r="J22" s="99">
        <v>716</v>
      </c>
      <c r="K22" s="99">
        <v>708</v>
      </c>
      <c r="L22" s="99">
        <v>1068</v>
      </c>
      <c r="M22" s="99">
        <v>404</v>
      </c>
      <c r="N22" s="99">
        <v>225</v>
      </c>
      <c r="O22" s="99">
        <v>117</v>
      </c>
      <c r="P22" s="159">
        <v>117</v>
      </c>
      <c r="Q22" s="99">
        <v>19</v>
      </c>
      <c r="R22" s="99">
        <v>46</v>
      </c>
      <c r="S22" s="99">
        <v>16</v>
      </c>
      <c r="T22" s="99">
        <v>21</v>
      </c>
      <c r="U22" s="99" t="s">
        <v>536</v>
      </c>
      <c r="V22" s="99">
        <v>34</v>
      </c>
      <c r="W22" s="99">
        <v>37</v>
      </c>
      <c r="X22" s="99">
        <v>12</v>
      </c>
      <c r="Y22" s="99">
        <v>72</v>
      </c>
      <c r="Z22" s="99">
        <v>45</v>
      </c>
      <c r="AA22" s="99" t="s">
        <v>536</v>
      </c>
      <c r="AB22" s="99" t="s">
        <v>536</v>
      </c>
      <c r="AC22" s="99" t="s">
        <v>536</v>
      </c>
      <c r="AD22" s="98" t="s">
        <v>316</v>
      </c>
      <c r="AE22" s="100">
        <v>0.1863432417274257</v>
      </c>
      <c r="AF22" s="100">
        <v>0.19</v>
      </c>
      <c r="AG22" s="98">
        <v>546.8311833987661</v>
      </c>
      <c r="AH22" s="98">
        <v>308.46887268648345</v>
      </c>
      <c r="AI22" s="100">
        <v>0.013999999999999999</v>
      </c>
      <c r="AJ22" s="100">
        <v>0.761702</v>
      </c>
      <c r="AK22" s="100">
        <v>0.76873</v>
      </c>
      <c r="AL22" s="100">
        <v>0.682428</v>
      </c>
      <c r="AM22" s="100">
        <v>0.465975</v>
      </c>
      <c r="AN22" s="100">
        <v>0.54878</v>
      </c>
      <c r="AO22" s="98">
        <v>1640.4935501962984</v>
      </c>
      <c r="AP22" s="158">
        <v>0.8324450684</v>
      </c>
      <c r="AQ22" s="100">
        <v>0.1623931623931624</v>
      </c>
      <c r="AR22" s="100">
        <v>0.41304347826086957</v>
      </c>
      <c r="AS22" s="98">
        <v>224.3409983174425</v>
      </c>
      <c r="AT22" s="98">
        <v>294.4475602916433</v>
      </c>
      <c r="AU22" s="98" t="s">
        <v>536</v>
      </c>
      <c r="AV22" s="98">
        <v>476.7246214245653</v>
      </c>
      <c r="AW22" s="98">
        <v>518.7885586090858</v>
      </c>
      <c r="AX22" s="98">
        <v>168.25574873808188</v>
      </c>
      <c r="AY22" s="98">
        <v>1009.5344924284913</v>
      </c>
      <c r="AZ22" s="98">
        <v>630.959057767807</v>
      </c>
      <c r="BA22" s="100" t="s">
        <v>536</v>
      </c>
      <c r="BB22" s="100" t="s">
        <v>536</v>
      </c>
      <c r="BC22" s="100" t="s">
        <v>536</v>
      </c>
      <c r="BD22" s="158">
        <v>0.6884547424</v>
      </c>
      <c r="BE22" s="158">
        <v>0.9976635742000001</v>
      </c>
      <c r="BF22" s="162">
        <v>940</v>
      </c>
      <c r="BG22" s="162">
        <v>921</v>
      </c>
      <c r="BH22" s="162">
        <v>1565</v>
      </c>
      <c r="BI22" s="162">
        <v>867</v>
      </c>
      <c r="BJ22" s="162">
        <v>410</v>
      </c>
      <c r="BK22" s="97"/>
      <c r="BL22" s="97"/>
      <c r="BM22" s="97"/>
      <c r="BN22" s="97"/>
    </row>
    <row r="23" spans="1:66" ht="12.75">
      <c r="A23" s="79" t="s">
        <v>527</v>
      </c>
      <c r="B23" s="79" t="s">
        <v>315</v>
      </c>
      <c r="C23" s="79" t="s">
        <v>231</v>
      </c>
      <c r="D23" s="99">
        <v>5018</v>
      </c>
      <c r="E23" s="99">
        <v>962</v>
      </c>
      <c r="F23" s="99" t="s">
        <v>338</v>
      </c>
      <c r="G23" s="99">
        <v>20</v>
      </c>
      <c r="H23" s="99">
        <v>10</v>
      </c>
      <c r="I23" s="99">
        <v>98</v>
      </c>
      <c r="J23" s="99">
        <v>519</v>
      </c>
      <c r="K23" s="99">
        <v>510</v>
      </c>
      <c r="L23" s="99">
        <v>961</v>
      </c>
      <c r="M23" s="99">
        <v>299</v>
      </c>
      <c r="N23" s="99">
        <v>145</v>
      </c>
      <c r="O23" s="99">
        <v>111</v>
      </c>
      <c r="P23" s="159">
        <v>111</v>
      </c>
      <c r="Q23" s="99">
        <v>9</v>
      </c>
      <c r="R23" s="99">
        <v>28</v>
      </c>
      <c r="S23" s="99">
        <v>21</v>
      </c>
      <c r="T23" s="99">
        <v>18</v>
      </c>
      <c r="U23" s="99">
        <v>6</v>
      </c>
      <c r="V23" s="99">
        <v>13</v>
      </c>
      <c r="W23" s="99">
        <v>25</v>
      </c>
      <c r="X23" s="99">
        <v>17</v>
      </c>
      <c r="Y23" s="99">
        <v>42</v>
      </c>
      <c r="Z23" s="99">
        <v>18</v>
      </c>
      <c r="AA23" s="99" t="s">
        <v>536</v>
      </c>
      <c r="AB23" s="99" t="s">
        <v>536</v>
      </c>
      <c r="AC23" s="99" t="s">
        <v>536</v>
      </c>
      <c r="AD23" s="98" t="s">
        <v>316</v>
      </c>
      <c r="AE23" s="100">
        <v>0.19170984455958548</v>
      </c>
      <c r="AF23" s="100">
        <v>0.14</v>
      </c>
      <c r="AG23" s="98">
        <v>398.5651654045436</v>
      </c>
      <c r="AH23" s="98">
        <v>199.2825827022718</v>
      </c>
      <c r="AI23" s="100">
        <v>0.02</v>
      </c>
      <c r="AJ23" s="100">
        <v>0.747839</v>
      </c>
      <c r="AK23" s="100">
        <v>0.751105</v>
      </c>
      <c r="AL23" s="100">
        <v>0.775</v>
      </c>
      <c r="AM23" s="100">
        <v>0.543636</v>
      </c>
      <c r="AN23" s="100">
        <v>0.566406</v>
      </c>
      <c r="AO23" s="98">
        <v>2212.036667995217</v>
      </c>
      <c r="AP23" s="158">
        <v>1.093716278</v>
      </c>
      <c r="AQ23" s="100">
        <v>0.08108108108108109</v>
      </c>
      <c r="AR23" s="100">
        <v>0.32142857142857145</v>
      </c>
      <c r="AS23" s="98">
        <v>418.49342367477084</v>
      </c>
      <c r="AT23" s="98">
        <v>358.7086488640893</v>
      </c>
      <c r="AU23" s="98">
        <v>119.5695496213631</v>
      </c>
      <c r="AV23" s="98">
        <v>259.0673575129534</v>
      </c>
      <c r="AW23" s="98">
        <v>498.20645675567954</v>
      </c>
      <c r="AX23" s="98">
        <v>338.7803905938621</v>
      </c>
      <c r="AY23" s="98">
        <v>836.9868473495417</v>
      </c>
      <c r="AZ23" s="98">
        <v>358.7086488640893</v>
      </c>
      <c r="BA23" s="100" t="s">
        <v>536</v>
      </c>
      <c r="BB23" s="100" t="s">
        <v>536</v>
      </c>
      <c r="BC23" s="100" t="s">
        <v>536</v>
      </c>
      <c r="BD23" s="158">
        <v>0.8997376251</v>
      </c>
      <c r="BE23" s="158">
        <v>1.317116547</v>
      </c>
      <c r="BF23" s="162">
        <v>694</v>
      </c>
      <c r="BG23" s="162">
        <v>679</v>
      </c>
      <c r="BH23" s="162">
        <v>1240</v>
      </c>
      <c r="BI23" s="162">
        <v>550</v>
      </c>
      <c r="BJ23" s="162">
        <v>256</v>
      </c>
      <c r="BK23" s="97"/>
      <c r="BL23" s="97"/>
      <c r="BM23" s="97"/>
      <c r="BN23" s="97"/>
    </row>
    <row r="24" spans="1:66" ht="12.75">
      <c r="A24" s="79" t="s">
        <v>518</v>
      </c>
      <c r="B24" s="79" t="s">
        <v>305</v>
      </c>
      <c r="C24" s="79" t="s">
        <v>231</v>
      </c>
      <c r="D24" s="99">
        <v>3911</v>
      </c>
      <c r="E24" s="99">
        <v>783</v>
      </c>
      <c r="F24" s="99" t="s">
        <v>338</v>
      </c>
      <c r="G24" s="99">
        <v>34</v>
      </c>
      <c r="H24" s="99">
        <v>6</v>
      </c>
      <c r="I24" s="99">
        <v>68</v>
      </c>
      <c r="J24" s="99">
        <v>359</v>
      </c>
      <c r="K24" s="99">
        <v>359</v>
      </c>
      <c r="L24" s="99">
        <v>671</v>
      </c>
      <c r="M24" s="99">
        <v>228</v>
      </c>
      <c r="N24" s="99">
        <v>116</v>
      </c>
      <c r="O24" s="99">
        <v>107</v>
      </c>
      <c r="P24" s="159">
        <v>107</v>
      </c>
      <c r="Q24" s="99">
        <v>12</v>
      </c>
      <c r="R24" s="99">
        <v>22</v>
      </c>
      <c r="S24" s="99">
        <v>12</v>
      </c>
      <c r="T24" s="99">
        <v>25</v>
      </c>
      <c r="U24" s="99" t="s">
        <v>536</v>
      </c>
      <c r="V24" s="99">
        <v>27</v>
      </c>
      <c r="W24" s="99">
        <v>31</v>
      </c>
      <c r="X24" s="99">
        <v>7</v>
      </c>
      <c r="Y24" s="99">
        <v>45</v>
      </c>
      <c r="Z24" s="99">
        <v>28</v>
      </c>
      <c r="AA24" s="99" t="s">
        <v>536</v>
      </c>
      <c r="AB24" s="99" t="s">
        <v>536</v>
      </c>
      <c r="AC24" s="99" t="s">
        <v>536</v>
      </c>
      <c r="AD24" s="98" t="s">
        <v>316</v>
      </c>
      <c r="AE24" s="100">
        <v>0.20020455126566095</v>
      </c>
      <c r="AF24" s="100">
        <v>0.13</v>
      </c>
      <c r="AG24" s="98">
        <v>869.3428790590642</v>
      </c>
      <c r="AH24" s="98">
        <v>153.4134492457172</v>
      </c>
      <c r="AI24" s="100">
        <v>0.017</v>
      </c>
      <c r="AJ24" s="100">
        <v>0.738683</v>
      </c>
      <c r="AK24" s="100">
        <v>0.757384</v>
      </c>
      <c r="AL24" s="100">
        <v>0.743902</v>
      </c>
      <c r="AM24" s="100">
        <v>0.571429</v>
      </c>
      <c r="AN24" s="100">
        <v>0.60733</v>
      </c>
      <c r="AO24" s="98">
        <v>2735.8731782152904</v>
      </c>
      <c r="AP24" s="158">
        <v>1.3607550050000001</v>
      </c>
      <c r="AQ24" s="100">
        <v>0.11214953271028037</v>
      </c>
      <c r="AR24" s="100">
        <v>0.5454545454545454</v>
      </c>
      <c r="AS24" s="98">
        <v>306.8268984914344</v>
      </c>
      <c r="AT24" s="98">
        <v>639.2227051904883</v>
      </c>
      <c r="AU24" s="98" t="s">
        <v>536</v>
      </c>
      <c r="AV24" s="98">
        <v>690.3605216057274</v>
      </c>
      <c r="AW24" s="98">
        <v>792.6361544362056</v>
      </c>
      <c r="AX24" s="98">
        <v>178.98235745333673</v>
      </c>
      <c r="AY24" s="98">
        <v>1150.6008693428792</v>
      </c>
      <c r="AZ24" s="98">
        <v>715.9294298133469</v>
      </c>
      <c r="BA24" s="100" t="s">
        <v>536</v>
      </c>
      <c r="BB24" s="100" t="s">
        <v>536</v>
      </c>
      <c r="BC24" s="100" t="s">
        <v>536</v>
      </c>
      <c r="BD24" s="158">
        <v>1.115171585</v>
      </c>
      <c r="BE24" s="158">
        <v>1.644333191</v>
      </c>
      <c r="BF24" s="162">
        <v>486</v>
      </c>
      <c r="BG24" s="162">
        <v>474</v>
      </c>
      <c r="BH24" s="162">
        <v>902</v>
      </c>
      <c r="BI24" s="162">
        <v>399</v>
      </c>
      <c r="BJ24" s="162">
        <v>191</v>
      </c>
      <c r="BK24" s="97"/>
      <c r="BL24" s="97"/>
      <c r="BM24" s="97"/>
      <c r="BN24" s="97"/>
    </row>
    <row r="25" spans="1:66" ht="12.75">
      <c r="A25" s="79" t="s">
        <v>519</v>
      </c>
      <c r="B25" s="79" t="s">
        <v>306</v>
      </c>
      <c r="C25" s="79" t="s">
        <v>231</v>
      </c>
      <c r="D25" s="99">
        <v>7584</v>
      </c>
      <c r="E25" s="99">
        <v>1471</v>
      </c>
      <c r="F25" s="99" t="s">
        <v>337</v>
      </c>
      <c r="G25" s="99">
        <v>30</v>
      </c>
      <c r="H25" s="99">
        <v>15</v>
      </c>
      <c r="I25" s="99">
        <v>160</v>
      </c>
      <c r="J25" s="99">
        <v>786</v>
      </c>
      <c r="K25" s="99">
        <v>792</v>
      </c>
      <c r="L25" s="99">
        <v>1473</v>
      </c>
      <c r="M25" s="99">
        <v>562</v>
      </c>
      <c r="N25" s="99">
        <v>289</v>
      </c>
      <c r="O25" s="99">
        <v>256</v>
      </c>
      <c r="P25" s="159">
        <v>256</v>
      </c>
      <c r="Q25" s="99">
        <v>16</v>
      </c>
      <c r="R25" s="99">
        <v>41</v>
      </c>
      <c r="S25" s="99">
        <v>44</v>
      </c>
      <c r="T25" s="99">
        <v>46</v>
      </c>
      <c r="U25" s="99">
        <v>6</v>
      </c>
      <c r="V25" s="99">
        <v>46</v>
      </c>
      <c r="W25" s="99">
        <v>47</v>
      </c>
      <c r="X25" s="99">
        <v>28</v>
      </c>
      <c r="Y25" s="99">
        <v>84</v>
      </c>
      <c r="Z25" s="99">
        <v>28</v>
      </c>
      <c r="AA25" s="99" t="s">
        <v>536</v>
      </c>
      <c r="AB25" s="99" t="s">
        <v>536</v>
      </c>
      <c r="AC25" s="99" t="s">
        <v>536</v>
      </c>
      <c r="AD25" s="98" t="s">
        <v>316</v>
      </c>
      <c r="AE25" s="100">
        <v>0.19396097046413502</v>
      </c>
      <c r="AF25" s="100">
        <v>0.09</v>
      </c>
      <c r="AG25" s="98">
        <v>395.56962025316454</v>
      </c>
      <c r="AH25" s="98">
        <v>197.78481012658227</v>
      </c>
      <c r="AI25" s="100">
        <v>0.021</v>
      </c>
      <c r="AJ25" s="100">
        <v>0.763107</v>
      </c>
      <c r="AK25" s="100">
        <v>0.781836</v>
      </c>
      <c r="AL25" s="100">
        <v>0.767987</v>
      </c>
      <c r="AM25" s="100">
        <v>0.614208</v>
      </c>
      <c r="AN25" s="100">
        <v>0.664368</v>
      </c>
      <c r="AO25" s="98">
        <v>3375.5274261603377</v>
      </c>
      <c r="AP25" s="158">
        <v>1.6645726010000002</v>
      </c>
      <c r="AQ25" s="100">
        <v>0.0625</v>
      </c>
      <c r="AR25" s="100">
        <v>0.3902439024390244</v>
      </c>
      <c r="AS25" s="98">
        <v>580.168776371308</v>
      </c>
      <c r="AT25" s="98">
        <v>606.5400843881856</v>
      </c>
      <c r="AU25" s="98">
        <v>79.11392405063292</v>
      </c>
      <c r="AV25" s="98">
        <v>606.5400843881856</v>
      </c>
      <c r="AW25" s="98">
        <v>619.7257383966245</v>
      </c>
      <c r="AX25" s="98">
        <v>369.19831223628694</v>
      </c>
      <c r="AY25" s="98">
        <v>1107.5949367088608</v>
      </c>
      <c r="AZ25" s="98">
        <v>369.19831223628694</v>
      </c>
      <c r="BA25" s="100" t="s">
        <v>536</v>
      </c>
      <c r="BB25" s="100" t="s">
        <v>536</v>
      </c>
      <c r="BC25" s="100" t="s">
        <v>536</v>
      </c>
      <c r="BD25" s="158">
        <v>1.466892853</v>
      </c>
      <c r="BE25" s="158">
        <v>1.881466217</v>
      </c>
      <c r="BF25" s="162">
        <v>1030</v>
      </c>
      <c r="BG25" s="162">
        <v>1013</v>
      </c>
      <c r="BH25" s="162">
        <v>1918</v>
      </c>
      <c r="BI25" s="162">
        <v>915</v>
      </c>
      <c r="BJ25" s="162">
        <v>435</v>
      </c>
      <c r="BK25" s="97"/>
      <c r="BL25" s="97"/>
      <c r="BM25" s="97"/>
      <c r="BN25" s="97"/>
    </row>
    <row r="26" spans="1:66" ht="12.75">
      <c r="A26" s="79" t="s">
        <v>526</v>
      </c>
      <c r="B26" s="79" t="s">
        <v>313</v>
      </c>
      <c r="C26" s="79" t="s">
        <v>231</v>
      </c>
      <c r="D26" s="99">
        <v>2585</v>
      </c>
      <c r="E26" s="99">
        <v>381</v>
      </c>
      <c r="F26" s="99" t="s">
        <v>336</v>
      </c>
      <c r="G26" s="99">
        <v>12</v>
      </c>
      <c r="H26" s="99" t="s">
        <v>536</v>
      </c>
      <c r="I26" s="99">
        <v>45</v>
      </c>
      <c r="J26" s="99">
        <v>171</v>
      </c>
      <c r="K26" s="99">
        <v>168</v>
      </c>
      <c r="L26" s="99">
        <v>465</v>
      </c>
      <c r="M26" s="99">
        <v>89</v>
      </c>
      <c r="N26" s="99">
        <v>44</v>
      </c>
      <c r="O26" s="99">
        <v>41</v>
      </c>
      <c r="P26" s="159">
        <v>41</v>
      </c>
      <c r="Q26" s="99" t="s">
        <v>536</v>
      </c>
      <c r="R26" s="99">
        <v>16</v>
      </c>
      <c r="S26" s="99">
        <v>9</v>
      </c>
      <c r="T26" s="99">
        <v>13</v>
      </c>
      <c r="U26" s="99" t="s">
        <v>536</v>
      </c>
      <c r="V26" s="99" t="s">
        <v>536</v>
      </c>
      <c r="W26" s="99">
        <v>9</v>
      </c>
      <c r="X26" s="99" t="s">
        <v>536</v>
      </c>
      <c r="Y26" s="99">
        <v>18</v>
      </c>
      <c r="Z26" s="99">
        <v>7</v>
      </c>
      <c r="AA26" s="99" t="s">
        <v>536</v>
      </c>
      <c r="AB26" s="99" t="s">
        <v>536</v>
      </c>
      <c r="AC26" s="99" t="s">
        <v>536</v>
      </c>
      <c r="AD26" s="98" t="s">
        <v>316</v>
      </c>
      <c r="AE26" s="100">
        <v>0.14738878143133463</v>
      </c>
      <c r="AF26" s="100">
        <v>0.2</v>
      </c>
      <c r="AG26" s="98">
        <v>464.2166344294004</v>
      </c>
      <c r="AH26" s="98" t="s">
        <v>536</v>
      </c>
      <c r="AI26" s="100">
        <v>0.017</v>
      </c>
      <c r="AJ26" s="100">
        <v>0.756637</v>
      </c>
      <c r="AK26" s="100">
        <v>0.767123</v>
      </c>
      <c r="AL26" s="100">
        <v>0.798969</v>
      </c>
      <c r="AM26" s="100">
        <v>0.5</v>
      </c>
      <c r="AN26" s="100">
        <v>0.54321</v>
      </c>
      <c r="AO26" s="98">
        <v>1586.073500967118</v>
      </c>
      <c r="AP26" s="158">
        <v>0.9973326111</v>
      </c>
      <c r="AQ26" s="100" t="s">
        <v>536</v>
      </c>
      <c r="AR26" s="100" t="s">
        <v>536</v>
      </c>
      <c r="AS26" s="98">
        <v>348.1624758220503</v>
      </c>
      <c r="AT26" s="98">
        <v>502.9013539651838</v>
      </c>
      <c r="AU26" s="98" t="s">
        <v>536</v>
      </c>
      <c r="AV26" s="98" t="s">
        <v>536</v>
      </c>
      <c r="AW26" s="98">
        <v>348.1624758220503</v>
      </c>
      <c r="AX26" s="98" t="s">
        <v>536</v>
      </c>
      <c r="AY26" s="98">
        <v>696.3249516441006</v>
      </c>
      <c r="AZ26" s="98">
        <v>270.79303675048357</v>
      </c>
      <c r="BA26" s="100" t="s">
        <v>536</v>
      </c>
      <c r="BB26" s="100" t="s">
        <v>536</v>
      </c>
      <c r="BC26" s="100" t="s">
        <v>536</v>
      </c>
      <c r="BD26" s="158">
        <v>0.715703125</v>
      </c>
      <c r="BE26" s="158">
        <v>1.3529942320000001</v>
      </c>
      <c r="BF26" s="162">
        <v>226</v>
      </c>
      <c r="BG26" s="162">
        <v>219</v>
      </c>
      <c r="BH26" s="162">
        <v>582</v>
      </c>
      <c r="BI26" s="162">
        <v>178</v>
      </c>
      <c r="BJ26" s="162">
        <v>81</v>
      </c>
      <c r="BK26" s="97"/>
      <c r="BL26" s="97"/>
      <c r="BM26" s="97"/>
      <c r="BN26" s="97"/>
    </row>
    <row r="27" spans="1:66" ht="12.75">
      <c r="A27" s="79" t="s">
        <v>512</v>
      </c>
      <c r="B27" s="79" t="s">
        <v>295</v>
      </c>
      <c r="C27" s="79" t="s">
        <v>231</v>
      </c>
      <c r="D27" s="99">
        <v>5615</v>
      </c>
      <c r="E27" s="99">
        <v>1092</v>
      </c>
      <c r="F27" s="99" t="s">
        <v>337</v>
      </c>
      <c r="G27" s="99">
        <v>29</v>
      </c>
      <c r="H27" s="99">
        <v>18</v>
      </c>
      <c r="I27" s="99">
        <v>69</v>
      </c>
      <c r="J27" s="99">
        <v>499</v>
      </c>
      <c r="K27" s="99">
        <v>503</v>
      </c>
      <c r="L27" s="99">
        <v>1037</v>
      </c>
      <c r="M27" s="99">
        <v>336</v>
      </c>
      <c r="N27" s="99">
        <v>186</v>
      </c>
      <c r="O27" s="99">
        <v>149</v>
      </c>
      <c r="P27" s="159">
        <v>149</v>
      </c>
      <c r="Q27" s="99">
        <v>22</v>
      </c>
      <c r="R27" s="99">
        <v>41</v>
      </c>
      <c r="S27" s="99">
        <v>22</v>
      </c>
      <c r="T27" s="99">
        <v>25</v>
      </c>
      <c r="U27" s="99" t="s">
        <v>536</v>
      </c>
      <c r="V27" s="99">
        <v>30</v>
      </c>
      <c r="W27" s="99">
        <v>23</v>
      </c>
      <c r="X27" s="99">
        <v>18</v>
      </c>
      <c r="Y27" s="99">
        <v>60</v>
      </c>
      <c r="Z27" s="99">
        <v>40</v>
      </c>
      <c r="AA27" s="99" t="s">
        <v>536</v>
      </c>
      <c r="AB27" s="99" t="s">
        <v>536</v>
      </c>
      <c r="AC27" s="99" t="s">
        <v>536</v>
      </c>
      <c r="AD27" s="98" t="s">
        <v>316</v>
      </c>
      <c r="AE27" s="100">
        <v>0.19447907390917185</v>
      </c>
      <c r="AF27" s="100">
        <v>0.11</v>
      </c>
      <c r="AG27" s="98">
        <v>516.473731077471</v>
      </c>
      <c r="AH27" s="98">
        <v>320.5699020480855</v>
      </c>
      <c r="AI27" s="100">
        <v>0.012</v>
      </c>
      <c r="AJ27" s="100">
        <v>0.767692</v>
      </c>
      <c r="AK27" s="100">
        <v>0.777434</v>
      </c>
      <c r="AL27" s="100">
        <v>0.740186</v>
      </c>
      <c r="AM27" s="100">
        <v>0.549918</v>
      </c>
      <c r="AN27" s="100">
        <v>0.61794</v>
      </c>
      <c r="AO27" s="98">
        <v>2653.606411398041</v>
      </c>
      <c r="AP27" s="158">
        <v>1.3111569209999998</v>
      </c>
      <c r="AQ27" s="100">
        <v>0.1476510067114094</v>
      </c>
      <c r="AR27" s="100">
        <v>0.5365853658536586</v>
      </c>
      <c r="AS27" s="98">
        <v>391.80765805877115</v>
      </c>
      <c r="AT27" s="98">
        <v>445.2359750667854</v>
      </c>
      <c r="AU27" s="98" t="s">
        <v>536</v>
      </c>
      <c r="AV27" s="98">
        <v>534.2831700801424</v>
      </c>
      <c r="AW27" s="98">
        <v>409.61709706144256</v>
      </c>
      <c r="AX27" s="98">
        <v>320.5699020480855</v>
      </c>
      <c r="AY27" s="98">
        <v>1068.5663401602849</v>
      </c>
      <c r="AZ27" s="98">
        <v>712.3775601068567</v>
      </c>
      <c r="BA27" s="100" t="s">
        <v>536</v>
      </c>
      <c r="BB27" s="100" t="s">
        <v>536</v>
      </c>
      <c r="BC27" s="100" t="s">
        <v>536</v>
      </c>
      <c r="BD27" s="158">
        <v>1.109083557</v>
      </c>
      <c r="BE27" s="158">
        <v>1.539397125</v>
      </c>
      <c r="BF27" s="162">
        <v>650</v>
      </c>
      <c r="BG27" s="162">
        <v>647</v>
      </c>
      <c r="BH27" s="162">
        <v>1401</v>
      </c>
      <c r="BI27" s="162">
        <v>611</v>
      </c>
      <c r="BJ27" s="162">
        <v>301</v>
      </c>
      <c r="BK27" s="97"/>
      <c r="BL27" s="97"/>
      <c r="BM27" s="97"/>
      <c r="BN27" s="97"/>
    </row>
    <row r="28" spans="1:66" ht="12.75">
      <c r="A28" s="79" t="s">
        <v>528</v>
      </c>
      <c r="B28" s="79" t="s">
        <v>497</v>
      </c>
      <c r="C28" s="79" t="s">
        <v>231</v>
      </c>
      <c r="D28" s="99">
        <v>1190</v>
      </c>
      <c r="E28" s="99">
        <v>59</v>
      </c>
      <c r="F28" s="99" t="s">
        <v>338</v>
      </c>
      <c r="G28" s="99" t="s">
        <v>536</v>
      </c>
      <c r="H28" s="99" t="s">
        <v>536</v>
      </c>
      <c r="I28" s="99">
        <v>3</v>
      </c>
      <c r="J28" s="99">
        <v>46</v>
      </c>
      <c r="K28" s="99">
        <v>44</v>
      </c>
      <c r="L28" s="99">
        <v>276</v>
      </c>
      <c r="M28" s="99">
        <v>28</v>
      </c>
      <c r="N28" s="99">
        <v>20</v>
      </c>
      <c r="O28" s="99">
        <v>20</v>
      </c>
      <c r="P28" s="159">
        <v>20</v>
      </c>
      <c r="Q28" s="99" t="s">
        <v>536</v>
      </c>
      <c r="R28" s="99" t="s">
        <v>536</v>
      </c>
      <c r="S28" s="99" t="s">
        <v>536</v>
      </c>
      <c r="T28" s="99" t="s">
        <v>536</v>
      </c>
      <c r="U28" s="99" t="s">
        <v>536</v>
      </c>
      <c r="V28" s="99" t="s">
        <v>536</v>
      </c>
      <c r="W28" s="99" t="s">
        <v>536</v>
      </c>
      <c r="X28" s="99">
        <v>6</v>
      </c>
      <c r="Y28" s="99">
        <v>14</v>
      </c>
      <c r="Z28" s="99" t="s">
        <v>536</v>
      </c>
      <c r="AA28" s="99" t="s">
        <v>536</v>
      </c>
      <c r="AB28" s="99" t="s">
        <v>536</v>
      </c>
      <c r="AC28" s="99" t="s">
        <v>536</v>
      </c>
      <c r="AD28" s="98" t="s">
        <v>316</v>
      </c>
      <c r="AE28" s="100">
        <v>0.04957983193277311</v>
      </c>
      <c r="AF28" s="100">
        <v>0.17</v>
      </c>
      <c r="AG28" s="98" t="s">
        <v>536</v>
      </c>
      <c r="AH28" s="98" t="s">
        <v>536</v>
      </c>
      <c r="AI28" s="100">
        <v>0.003</v>
      </c>
      <c r="AJ28" s="100">
        <v>0.621622</v>
      </c>
      <c r="AK28" s="100">
        <v>0.637681</v>
      </c>
      <c r="AL28" s="100">
        <v>0.78187</v>
      </c>
      <c r="AM28" s="100">
        <v>0.56</v>
      </c>
      <c r="AN28" s="100">
        <v>0.645161</v>
      </c>
      <c r="AO28" s="98">
        <v>1680.672268907563</v>
      </c>
      <c r="AP28" s="158">
        <v>1.358377075</v>
      </c>
      <c r="AQ28" s="100" t="s">
        <v>536</v>
      </c>
      <c r="AR28" s="100" t="s">
        <v>536</v>
      </c>
      <c r="AS28" s="98" t="s">
        <v>536</v>
      </c>
      <c r="AT28" s="98" t="s">
        <v>536</v>
      </c>
      <c r="AU28" s="98" t="s">
        <v>536</v>
      </c>
      <c r="AV28" s="98" t="s">
        <v>536</v>
      </c>
      <c r="AW28" s="98" t="s">
        <v>536</v>
      </c>
      <c r="AX28" s="98">
        <v>504.20168067226894</v>
      </c>
      <c r="AY28" s="98">
        <v>1176.4705882352941</v>
      </c>
      <c r="AZ28" s="98" t="s">
        <v>536</v>
      </c>
      <c r="BA28" s="100" t="s">
        <v>536</v>
      </c>
      <c r="BB28" s="100" t="s">
        <v>536</v>
      </c>
      <c r="BC28" s="100" t="s">
        <v>536</v>
      </c>
      <c r="BD28" s="158">
        <v>0.8297319794000001</v>
      </c>
      <c r="BE28" s="158">
        <v>2.0979031370000003</v>
      </c>
      <c r="BF28" s="162">
        <v>74</v>
      </c>
      <c r="BG28" s="162">
        <v>69</v>
      </c>
      <c r="BH28" s="162">
        <v>353</v>
      </c>
      <c r="BI28" s="162">
        <v>50</v>
      </c>
      <c r="BJ28" s="162">
        <v>31</v>
      </c>
      <c r="BK28" s="97"/>
      <c r="BL28" s="97"/>
      <c r="BM28" s="97"/>
      <c r="BN28" s="97"/>
    </row>
    <row r="29" spans="1:66" ht="12.75">
      <c r="A29" s="79" t="s">
        <v>524</v>
      </c>
      <c r="B29" s="79" t="s">
        <v>311</v>
      </c>
      <c r="C29" s="79" t="s">
        <v>231</v>
      </c>
      <c r="D29" s="99">
        <v>1875</v>
      </c>
      <c r="E29" s="99">
        <v>324</v>
      </c>
      <c r="F29" s="99" t="s">
        <v>336</v>
      </c>
      <c r="G29" s="99">
        <v>15</v>
      </c>
      <c r="H29" s="99" t="s">
        <v>536</v>
      </c>
      <c r="I29" s="99">
        <v>41</v>
      </c>
      <c r="J29" s="99">
        <v>153</v>
      </c>
      <c r="K29" s="99">
        <v>155</v>
      </c>
      <c r="L29" s="99">
        <v>335</v>
      </c>
      <c r="M29" s="99">
        <v>94</v>
      </c>
      <c r="N29" s="99">
        <v>54</v>
      </c>
      <c r="O29" s="99">
        <v>44</v>
      </c>
      <c r="P29" s="159">
        <v>44</v>
      </c>
      <c r="Q29" s="99">
        <v>9</v>
      </c>
      <c r="R29" s="99">
        <v>10</v>
      </c>
      <c r="S29" s="99">
        <v>7</v>
      </c>
      <c r="T29" s="99">
        <v>8</v>
      </c>
      <c r="U29" s="99" t="s">
        <v>536</v>
      </c>
      <c r="V29" s="99" t="s">
        <v>536</v>
      </c>
      <c r="W29" s="99">
        <v>7</v>
      </c>
      <c r="X29" s="99">
        <v>8</v>
      </c>
      <c r="Y29" s="99">
        <v>30</v>
      </c>
      <c r="Z29" s="99">
        <v>6</v>
      </c>
      <c r="AA29" s="99" t="s">
        <v>536</v>
      </c>
      <c r="AB29" s="99" t="s">
        <v>536</v>
      </c>
      <c r="AC29" s="99" t="s">
        <v>536</v>
      </c>
      <c r="AD29" s="98" t="s">
        <v>316</v>
      </c>
      <c r="AE29" s="100">
        <v>0.1728</v>
      </c>
      <c r="AF29" s="100">
        <v>0.19</v>
      </c>
      <c r="AG29" s="98">
        <v>800</v>
      </c>
      <c r="AH29" s="98" t="s">
        <v>536</v>
      </c>
      <c r="AI29" s="100">
        <v>0.022000000000000002</v>
      </c>
      <c r="AJ29" s="100">
        <v>0.728571</v>
      </c>
      <c r="AK29" s="100">
        <v>0.745192</v>
      </c>
      <c r="AL29" s="100">
        <v>0.786385</v>
      </c>
      <c r="AM29" s="100">
        <v>0.449761</v>
      </c>
      <c r="AN29" s="100">
        <v>0.534653</v>
      </c>
      <c r="AO29" s="98">
        <v>2346.6666666666665</v>
      </c>
      <c r="AP29" s="158">
        <v>1.26937973</v>
      </c>
      <c r="AQ29" s="100">
        <v>0.20454545454545456</v>
      </c>
      <c r="AR29" s="100">
        <v>0.9</v>
      </c>
      <c r="AS29" s="98">
        <v>373.3333333333333</v>
      </c>
      <c r="AT29" s="98">
        <v>426.6666666666667</v>
      </c>
      <c r="AU29" s="98" t="s">
        <v>536</v>
      </c>
      <c r="AV29" s="98" t="s">
        <v>536</v>
      </c>
      <c r="AW29" s="98">
        <v>373.3333333333333</v>
      </c>
      <c r="AX29" s="98">
        <v>426.6666666666667</v>
      </c>
      <c r="AY29" s="98">
        <v>1600</v>
      </c>
      <c r="AZ29" s="98">
        <v>320</v>
      </c>
      <c r="BA29" s="100" t="s">
        <v>536</v>
      </c>
      <c r="BB29" s="100" t="s">
        <v>536</v>
      </c>
      <c r="BC29" s="100" t="s">
        <v>536</v>
      </c>
      <c r="BD29" s="158">
        <v>0.9223332976999999</v>
      </c>
      <c r="BE29" s="158">
        <v>1.704083099</v>
      </c>
      <c r="BF29" s="162">
        <v>210</v>
      </c>
      <c r="BG29" s="162">
        <v>208</v>
      </c>
      <c r="BH29" s="162">
        <v>426</v>
      </c>
      <c r="BI29" s="162">
        <v>209</v>
      </c>
      <c r="BJ29" s="162">
        <v>101</v>
      </c>
      <c r="BK29" s="97"/>
      <c r="BL29" s="97"/>
      <c r="BM29" s="97"/>
      <c r="BN29" s="97"/>
    </row>
    <row r="30" spans="1:66" ht="12.75">
      <c r="A30" s="79" t="s">
        <v>507</v>
      </c>
      <c r="B30" s="79" t="s">
        <v>290</v>
      </c>
      <c r="C30" s="79" t="s">
        <v>231</v>
      </c>
      <c r="D30" s="99">
        <v>7448</v>
      </c>
      <c r="E30" s="99">
        <v>1524</v>
      </c>
      <c r="F30" s="99" t="s">
        <v>337</v>
      </c>
      <c r="G30" s="99">
        <v>36</v>
      </c>
      <c r="H30" s="99">
        <v>13</v>
      </c>
      <c r="I30" s="99">
        <v>148</v>
      </c>
      <c r="J30" s="99">
        <v>782</v>
      </c>
      <c r="K30" s="99">
        <v>773</v>
      </c>
      <c r="L30" s="99">
        <v>1376</v>
      </c>
      <c r="M30" s="99">
        <v>545</v>
      </c>
      <c r="N30" s="99">
        <v>263</v>
      </c>
      <c r="O30" s="99">
        <v>238</v>
      </c>
      <c r="P30" s="159">
        <v>238</v>
      </c>
      <c r="Q30" s="99">
        <v>18</v>
      </c>
      <c r="R30" s="99">
        <v>49</v>
      </c>
      <c r="S30" s="99">
        <v>24</v>
      </c>
      <c r="T30" s="99">
        <v>29</v>
      </c>
      <c r="U30" s="99">
        <v>7</v>
      </c>
      <c r="V30" s="99">
        <v>64</v>
      </c>
      <c r="W30" s="99">
        <v>39</v>
      </c>
      <c r="X30" s="99">
        <v>16</v>
      </c>
      <c r="Y30" s="99">
        <v>86</v>
      </c>
      <c r="Z30" s="99">
        <v>21</v>
      </c>
      <c r="AA30" s="99" t="s">
        <v>536</v>
      </c>
      <c r="AB30" s="99" t="s">
        <v>536</v>
      </c>
      <c r="AC30" s="99" t="s">
        <v>536</v>
      </c>
      <c r="AD30" s="98" t="s">
        <v>316</v>
      </c>
      <c r="AE30" s="100">
        <v>0.2046186895810956</v>
      </c>
      <c r="AF30" s="100">
        <v>0.11</v>
      </c>
      <c r="AG30" s="98">
        <v>483.3512352309345</v>
      </c>
      <c r="AH30" s="98">
        <v>174.5435016111708</v>
      </c>
      <c r="AI30" s="100">
        <v>0.02</v>
      </c>
      <c r="AJ30" s="100">
        <v>0.775794</v>
      </c>
      <c r="AK30" s="100">
        <v>0.779234</v>
      </c>
      <c r="AL30" s="100">
        <v>0.786735</v>
      </c>
      <c r="AM30" s="100">
        <v>0.574289</v>
      </c>
      <c r="AN30" s="100">
        <v>0.608796</v>
      </c>
      <c r="AO30" s="98">
        <v>3195.4887218045114</v>
      </c>
      <c r="AP30" s="158">
        <v>1.537867584</v>
      </c>
      <c r="AQ30" s="100">
        <v>0.07563025210084033</v>
      </c>
      <c r="AR30" s="100">
        <v>0.3673469387755102</v>
      </c>
      <c r="AS30" s="98">
        <v>322.234156820623</v>
      </c>
      <c r="AT30" s="98">
        <v>389.36627282491946</v>
      </c>
      <c r="AU30" s="98">
        <v>93.98496240601504</v>
      </c>
      <c r="AV30" s="98">
        <v>859.2910848549947</v>
      </c>
      <c r="AW30" s="98">
        <v>523.6305048335123</v>
      </c>
      <c r="AX30" s="98">
        <v>214.82277121374867</v>
      </c>
      <c r="AY30" s="98">
        <v>1154.672395273899</v>
      </c>
      <c r="AZ30" s="98">
        <v>281.9548872180451</v>
      </c>
      <c r="BA30" s="100" t="s">
        <v>536</v>
      </c>
      <c r="BB30" s="100" t="s">
        <v>536</v>
      </c>
      <c r="BC30" s="100" t="s">
        <v>536</v>
      </c>
      <c r="BD30" s="158">
        <v>1.348678589</v>
      </c>
      <c r="BE30" s="158">
        <v>1.746165009</v>
      </c>
      <c r="BF30" s="162">
        <v>1008</v>
      </c>
      <c r="BG30" s="162">
        <v>992</v>
      </c>
      <c r="BH30" s="162">
        <v>1749</v>
      </c>
      <c r="BI30" s="162">
        <v>949</v>
      </c>
      <c r="BJ30" s="162">
        <v>432</v>
      </c>
      <c r="BK30" s="97"/>
      <c r="BL30" s="97"/>
      <c r="BM30" s="97"/>
      <c r="BN30" s="97"/>
    </row>
    <row r="31" spans="1:66" ht="12.75">
      <c r="A31" s="79" t="s">
        <v>504</v>
      </c>
      <c r="B31" s="79" t="s">
        <v>286</v>
      </c>
      <c r="C31" s="79" t="s">
        <v>231</v>
      </c>
      <c r="D31" s="99">
        <v>6569</v>
      </c>
      <c r="E31" s="99">
        <v>1399</v>
      </c>
      <c r="F31" s="99" t="s">
        <v>339</v>
      </c>
      <c r="G31" s="99">
        <v>39</v>
      </c>
      <c r="H31" s="99">
        <v>11</v>
      </c>
      <c r="I31" s="99">
        <v>146</v>
      </c>
      <c r="J31" s="99">
        <v>804</v>
      </c>
      <c r="K31" s="99">
        <v>73</v>
      </c>
      <c r="L31" s="99">
        <v>1277</v>
      </c>
      <c r="M31" s="99">
        <v>624</v>
      </c>
      <c r="N31" s="99">
        <v>300</v>
      </c>
      <c r="O31" s="99">
        <v>277</v>
      </c>
      <c r="P31" s="159">
        <v>277</v>
      </c>
      <c r="Q31" s="99">
        <v>29</v>
      </c>
      <c r="R31" s="99">
        <v>44</v>
      </c>
      <c r="S31" s="99">
        <v>23</v>
      </c>
      <c r="T31" s="99">
        <v>48</v>
      </c>
      <c r="U31" s="99">
        <v>11</v>
      </c>
      <c r="V31" s="99">
        <v>68</v>
      </c>
      <c r="W31" s="99">
        <v>49</v>
      </c>
      <c r="X31" s="99">
        <v>31</v>
      </c>
      <c r="Y31" s="99">
        <v>86</v>
      </c>
      <c r="Z31" s="99">
        <v>45</v>
      </c>
      <c r="AA31" s="99" t="s">
        <v>536</v>
      </c>
      <c r="AB31" s="99" t="s">
        <v>536</v>
      </c>
      <c r="AC31" s="99" t="s">
        <v>536</v>
      </c>
      <c r="AD31" s="98" t="s">
        <v>316</v>
      </c>
      <c r="AE31" s="100">
        <v>0.21297001065611204</v>
      </c>
      <c r="AF31" s="100">
        <v>0.07</v>
      </c>
      <c r="AG31" s="98">
        <v>593.6976708783681</v>
      </c>
      <c r="AH31" s="98">
        <v>167.45318922210382</v>
      </c>
      <c r="AI31" s="100">
        <v>0.022000000000000002</v>
      </c>
      <c r="AJ31" s="100">
        <v>0.79604</v>
      </c>
      <c r="AK31" s="100">
        <v>0.752577</v>
      </c>
      <c r="AL31" s="100">
        <v>0.7873</v>
      </c>
      <c r="AM31" s="100">
        <v>0.634146</v>
      </c>
      <c r="AN31" s="100">
        <v>0.635593</v>
      </c>
      <c r="AO31" s="98">
        <v>4216.775764956615</v>
      </c>
      <c r="AP31" s="158">
        <v>1.940883484</v>
      </c>
      <c r="AQ31" s="100">
        <v>0.10469314079422383</v>
      </c>
      <c r="AR31" s="100">
        <v>0.6590909090909091</v>
      </c>
      <c r="AS31" s="98">
        <v>350.12939564621706</v>
      </c>
      <c r="AT31" s="98">
        <v>730.704825696453</v>
      </c>
      <c r="AU31" s="98">
        <v>167.45318922210382</v>
      </c>
      <c r="AV31" s="98">
        <v>1035.1651697366417</v>
      </c>
      <c r="AW31" s="98">
        <v>745.9278428984625</v>
      </c>
      <c r="AX31" s="98">
        <v>471.91353326229256</v>
      </c>
      <c r="AY31" s="98">
        <v>1309.1794793728118</v>
      </c>
      <c r="AZ31" s="98">
        <v>685.0357740904248</v>
      </c>
      <c r="BA31" s="100" t="s">
        <v>536</v>
      </c>
      <c r="BB31" s="100" t="s">
        <v>536</v>
      </c>
      <c r="BC31" s="100" t="s">
        <v>536</v>
      </c>
      <c r="BD31" s="158">
        <v>1.719026642</v>
      </c>
      <c r="BE31" s="158">
        <v>2.183428955</v>
      </c>
      <c r="BF31" s="162">
        <v>1010</v>
      </c>
      <c r="BG31" s="162">
        <v>97</v>
      </c>
      <c r="BH31" s="162">
        <v>1622</v>
      </c>
      <c r="BI31" s="162">
        <v>984</v>
      </c>
      <c r="BJ31" s="162">
        <v>472</v>
      </c>
      <c r="BK31" s="97"/>
      <c r="BL31" s="97"/>
      <c r="BM31" s="97"/>
      <c r="BN31" s="97"/>
    </row>
    <row r="32" spans="1:66" ht="12.75">
      <c r="A32" s="79" t="s">
        <v>522</v>
      </c>
      <c r="B32" s="79" t="s">
        <v>309</v>
      </c>
      <c r="C32" s="79" t="s">
        <v>231</v>
      </c>
      <c r="D32" s="99">
        <v>4311</v>
      </c>
      <c r="E32" s="99">
        <v>433</v>
      </c>
      <c r="F32" s="99" t="s">
        <v>338</v>
      </c>
      <c r="G32" s="99" t="s">
        <v>536</v>
      </c>
      <c r="H32" s="99" t="s">
        <v>536</v>
      </c>
      <c r="I32" s="99">
        <v>50</v>
      </c>
      <c r="J32" s="99">
        <v>304</v>
      </c>
      <c r="K32" s="99">
        <v>6</v>
      </c>
      <c r="L32" s="99">
        <v>865</v>
      </c>
      <c r="M32" s="99">
        <v>189</v>
      </c>
      <c r="N32" s="99">
        <v>84</v>
      </c>
      <c r="O32" s="99">
        <v>44</v>
      </c>
      <c r="P32" s="159">
        <v>44</v>
      </c>
      <c r="Q32" s="99">
        <v>7</v>
      </c>
      <c r="R32" s="99">
        <v>12</v>
      </c>
      <c r="S32" s="99">
        <v>13</v>
      </c>
      <c r="T32" s="99">
        <v>6</v>
      </c>
      <c r="U32" s="99" t="s">
        <v>536</v>
      </c>
      <c r="V32" s="99" t="s">
        <v>536</v>
      </c>
      <c r="W32" s="99">
        <v>14</v>
      </c>
      <c r="X32" s="99">
        <v>7</v>
      </c>
      <c r="Y32" s="99">
        <v>34</v>
      </c>
      <c r="Z32" s="99">
        <v>7</v>
      </c>
      <c r="AA32" s="99" t="s">
        <v>536</v>
      </c>
      <c r="AB32" s="99" t="s">
        <v>536</v>
      </c>
      <c r="AC32" s="99" t="s">
        <v>536</v>
      </c>
      <c r="AD32" s="98" t="s">
        <v>316</v>
      </c>
      <c r="AE32" s="100">
        <v>0.1004407330085827</v>
      </c>
      <c r="AF32" s="100">
        <v>0.15</v>
      </c>
      <c r="AG32" s="98" t="s">
        <v>536</v>
      </c>
      <c r="AH32" s="98" t="s">
        <v>536</v>
      </c>
      <c r="AI32" s="100">
        <v>0.012</v>
      </c>
      <c r="AJ32" s="100">
        <v>0.645435</v>
      </c>
      <c r="AK32" s="100">
        <v>0.6</v>
      </c>
      <c r="AL32" s="100">
        <v>0.793578</v>
      </c>
      <c r="AM32" s="100">
        <v>0.494764</v>
      </c>
      <c r="AN32" s="100">
        <v>0.5</v>
      </c>
      <c r="AO32" s="98">
        <v>1020.6448619809789</v>
      </c>
      <c r="AP32" s="158">
        <v>0.6482920074</v>
      </c>
      <c r="AQ32" s="100">
        <v>0.1590909090909091</v>
      </c>
      <c r="AR32" s="100">
        <v>0.5833333333333334</v>
      </c>
      <c r="AS32" s="98">
        <v>301.5541637671074</v>
      </c>
      <c r="AT32" s="98">
        <v>139.17884481558804</v>
      </c>
      <c r="AU32" s="98" t="s">
        <v>536</v>
      </c>
      <c r="AV32" s="98" t="s">
        <v>536</v>
      </c>
      <c r="AW32" s="98">
        <v>324.75063790303875</v>
      </c>
      <c r="AX32" s="98">
        <v>162.37531895151938</v>
      </c>
      <c r="AY32" s="98">
        <v>788.6801206216655</v>
      </c>
      <c r="AZ32" s="98">
        <v>162.37531895151938</v>
      </c>
      <c r="BA32" s="100" t="s">
        <v>536</v>
      </c>
      <c r="BB32" s="100" t="s">
        <v>536</v>
      </c>
      <c r="BC32" s="100" t="s">
        <v>536</v>
      </c>
      <c r="BD32" s="158">
        <v>0.4710499573</v>
      </c>
      <c r="BE32" s="158">
        <v>0.8703017425999999</v>
      </c>
      <c r="BF32" s="162">
        <v>471</v>
      </c>
      <c r="BG32" s="162">
        <v>10</v>
      </c>
      <c r="BH32" s="162">
        <v>1090</v>
      </c>
      <c r="BI32" s="162">
        <v>382</v>
      </c>
      <c r="BJ32" s="162">
        <v>168</v>
      </c>
      <c r="BK32" s="97"/>
      <c r="BL32" s="97"/>
      <c r="BM32" s="97"/>
      <c r="BN32" s="97"/>
    </row>
    <row r="33" spans="1:66" ht="12.75">
      <c r="A33" s="79" t="s">
        <v>508</v>
      </c>
      <c r="B33" s="79" t="s">
        <v>291</v>
      </c>
      <c r="C33" s="79" t="s">
        <v>231</v>
      </c>
      <c r="D33" s="99">
        <v>10337</v>
      </c>
      <c r="E33" s="99">
        <v>2067</v>
      </c>
      <c r="F33" s="99" t="s">
        <v>338</v>
      </c>
      <c r="G33" s="99">
        <v>62</v>
      </c>
      <c r="H33" s="99">
        <v>29</v>
      </c>
      <c r="I33" s="99">
        <v>202</v>
      </c>
      <c r="J33" s="99">
        <v>977</v>
      </c>
      <c r="K33" s="99">
        <v>965</v>
      </c>
      <c r="L33" s="99">
        <v>1872</v>
      </c>
      <c r="M33" s="99">
        <v>681</v>
      </c>
      <c r="N33" s="99">
        <v>359</v>
      </c>
      <c r="O33" s="99">
        <v>320</v>
      </c>
      <c r="P33" s="159">
        <v>320</v>
      </c>
      <c r="Q33" s="99">
        <v>42</v>
      </c>
      <c r="R33" s="99">
        <v>57</v>
      </c>
      <c r="S33" s="99">
        <v>39</v>
      </c>
      <c r="T33" s="99">
        <v>50</v>
      </c>
      <c r="U33" s="99">
        <v>13</v>
      </c>
      <c r="V33" s="99">
        <v>47</v>
      </c>
      <c r="W33" s="99">
        <v>65</v>
      </c>
      <c r="X33" s="99">
        <v>30</v>
      </c>
      <c r="Y33" s="99">
        <v>132</v>
      </c>
      <c r="Z33" s="99">
        <v>59</v>
      </c>
      <c r="AA33" s="99" t="s">
        <v>536</v>
      </c>
      <c r="AB33" s="99" t="s">
        <v>536</v>
      </c>
      <c r="AC33" s="99" t="s">
        <v>536</v>
      </c>
      <c r="AD33" s="98" t="s">
        <v>316</v>
      </c>
      <c r="AE33" s="100">
        <v>0.1999613040534004</v>
      </c>
      <c r="AF33" s="100">
        <v>0.15</v>
      </c>
      <c r="AG33" s="98">
        <v>599.7871722937023</v>
      </c>
      <c r="AH33" s="98">
        <v>280.54561284705426</v>
      </c>
      <c r="AI33" s="100">
        <v>0.02</v>
      </c>
      <c r="AJ33" s="100">
        <v>0.755023</v>
      </c>
      <c r="AK33" s="100">
        <v>0.766481</v>
      </c>
      <c r="AL33" s="100">
        <v>0.772596</v>
      </c>
      <c r="AM33" s="100">
        <v>0.551417</v>
      </c>
      <c r="AN33" s="100">
        <v>0.569841</v>
      </c>
      <c r="AO33" s="98">
        <v>3095.6757279674953</v>
      </c>
      <c r="AP33" s="158">
        <v>1.5432939150000002</v>
      </c>
      <c r="AQ33" s="100">
        <v>0.13125</v>
      </c>
      <c r="AR33" s="100">
        <v>0.7368421052631579</v>
      </c>
      <c r="AS33" s="98">
        <v>377.2854793460385</v>
      </c>
      <c r="AT33" s="98">
        <v>483.6993324949212</v>
      </c>
      <c r="AU33" s="98">
        <v>125.7618264486795</v>
      </c>
      <c r="AV33" s="98">
        <v>454.67737254522586</v>
      </c>
      <c r="AW33" s="98">
        <v>628.8091322433975</v>
      </c>
      <c r="AX33" s="98">
        <v>290.2195994969527</v>
      </c>
      <c r="AY33" s="98">
        <v>1276.9662377865918</v>
      </c>
      <c r="AZ33" s="98">
        <v>570.765212344007</v>
      </c>
      <c r="BA33" s="100" t="s">
        <v>536</v>
      </c>
      <c r="BB33" s="100" t="s">
        <v>536</v>
      </c>
      <c r="BC33" s="100" t="s">
        <v>536</v>
      </c>
      <c r="BD33" s="158">
        <v>1.3788156129999998</v>
      </c>
      <c r="BE33" s="158">
        <v>1.721992798</v>
      </c>
      <c r="BF33" s="162">
        <v>1294</v>
      </c>
      <c r="BG33" s="162">
        <v>1259</v>
      </c>
      <c r="BH33" s="162">
        <v>2423</v>
      </c>
      <c r="BI33" s="162">
        <v>1235</v>
      </c>
      <c r="BJ33" s="162">
        <v>630</v>
      </c>
      <c r="BK33" s="97"/>
      <c r="BL33" s="97"/>
      <c r="BM33" s="97"/>
      <c r="BN33" s="97"/>
    </row>
    <row r="34" spans="1:66" ht="12.75">
      <c r="A34" s="79" t="s">
        <v>525</v>
      </c>
      <c r="B34" s="79" t="s">
        <v>312</v>
      </c>
      <c r="C34" s="79" t="s">
        <v>231</v>
      </c>
      <c r="D34" s="99">
        <v>3605</v>
      </c>
      <c r="E34" s="99">
        <v>674</v>
      </c>
      <c r="F34" s="99" t="s">
        <v>338</v>
      </c>
      <c r="G34" s="99">
        <v>17</v>
      </c>
      <c r="H34" s="99">
        <v>10</v>
      </c>
      <c r="I34" s="99">
        <v>66</v>
      </c>
      <c r="J34" s="99">
        <v>269</v>
      </c>
      <c r="K34" s="99">
        <v>17</v>
      </c>
      <c r="L34" s="99">
        <v>669</v>
      </c>
      <c r="M34" s="99">
        <v>257</v>
      </c>
      <c r="N34" s="99">
        <v>118</v>
      </c>
      <c r="O34" s="99">
        <v>85</v>
      </c>
      <c r="P34" s="159">
        <v>85</v>
      </c>
      <c r="Q34" s="99">
        <v>11</v>
      </c>
      <c r="R34" s="99">
        <v>17</v>
      </c>
      <c r="S34" s="99">
        <v>13</v>
      </c>
      <c r="T34" s="99">
        <v>17</v>
      </c>
      <c r="U34" s="99" t="s">
        <v>536</v>
      </c>
      <c r="V34" s="99">
        <v>15</v>
      </c>
      <c r="W34" s="99">
        <v>28</v>
      </c>
      <c r="X34" s="99">
        <v>6</v>
      </c>
      <c r="Y34" s="99">
        <v>37</v>
      </c>
      <c r="Z34" s="99">
        <v>17</v>
      </c>
      <c r="AA34" s="99" t="s">
        <v>536</v>
      </c>
      <c r="AB34" s="99" t="s">
        <v>536</v>
      </c>
      <c r="AC34" s="99" t="s">
        <v>536</v>
      </c>
      <c r="AD34" s="98" t="s">
        <v>316</v>
      </c>
      <c r="AE34" s="100">
        <v>0.1869625520110957</v>
      </c>
      <c r="AF34" s="100">
        <v>0.14</v>
      </c>
      <c r="AG34" s="98">
        <v>471.5672676837725</v>
      </c>
      <c r="AH34" s="98">
        <v>277.39251040221916</v>
      </c>
      <c r="AI34" s="100">
        <v>0.018000000000000002</v>
      </c>
      <c r="AJ34" s="100">
        <v>0.569915</v>
      </c>
      <c r="AK34" s="100">
        <v>0.894737</v>
      </c>
      <c r="AL34" s="100">
        <v>0.784291</v>
      </c>
      <c r="AM34" s="100">
        <v>0.526639</v>
      </c>
      <c r="AN34" s="100">
        <v>0.541284</v>
      </c>
      <c r="AO34" s="98">
        <v>2357.836338418863</v>
      </c>
      <c r="AP34" s="158">
        <v>1.208358383</v>
      </c>
      <c r="AQ34" s="100">
        <v>0.12941176470588237</v>
      </c>
      <c r="AR34" s="100">
        <v>0.6470588235294118</v>
      </c>
      <c r="AS34" s="98">
        <v>360.6102635228849</v>
      </c>
      <c r="AT34" s="98">
        <v>471.5672676837725</v>
      </c>
      <c r="AU34" s="98" t="s">
        <v>536</v>
      </c>
      <c r="AV34" s="98">
        <v>416.08876560332874</v>
      </c>
      <c r="AW34" s="98">
        <v>776.6990291262136</v>
      </c>
      <c r="AX34" s="98">
        <v>166.4355062413315</v>
      </c>
      <c r="AY34" s="98">
        <v>1026.352288488211</v>
      </c>
      <c r="AZ34" s="98">
        <v>471.5672676837725</v>
      </c>
      <c r="BA34" s="100" t="s">
        <v>536</v>
      </c>
      <c r="BB34" s="100" t="s">
        <v>536</v>
      </c>
      <c r="BC34" s="100" t="s">
        <v>536</v>
      </c>
      <c r="BD34" s="158">
        <v>0.9651937866</v>
      </c>
      <c r="BE34" s="158">
        <v>1.4941539</v>
      </c>
      <c r="BF34" s="162">
        <v>472</v>
      </c>
      <c r="BG34" s="162">
        <v>19</v>
      </c>
      <c r="BH34" s="162">
        <v>853</v>
      </c>
      <c r="BI34" s="162">
        <v>488</v>
      </c>
      <c r="BJ34" s="162">
        <v>218</v>
      </c>
      <c r="BK34" s="97"/>
      <c r="BL34" s="97"/>
      <c r="BM34" s="97"/>
      <c r="BN34" s="97"/>
    </row>
    <row r="35" spans="1:66" ht="12.75">
      <c r="A35" s="79" t="s">
        <v>517</v>
      </c>
      <c r="B35" s="79" t="s">
        <v>303</v>
      </c>
      <c r="C35" s="79" t="s">
        <v>231</v>
      </c>
      <c r="D35" s="99">
        <v>6185</v>
      </c>
      <c r="E35" s="99">
        <v>1339</v>
      </c>
      <c r="F35" s="99" t="s">
        <v>339</v>
      </c>
      <c r="G35" s="99">
        <v>37</v>
      </c>
      <c r="H35" s="99">
        <v>17</v>
      </c>
      <c r="I35" s="99">
        <v>167</v>
      </c>
      <c r="J35" s="99">
        <v>863</v>
      </c>
      <c r="K35" s="99">
        <v>9</v>
      </c>
      <c r="L35" s="99">
        <v>1249</v>
      </c>
      <c r="M35" s="99">
        <v>689</v>
      </c>
      <c r="N35" s="99">
        <v>324</v>
      </c>
      <c r="O35" s="99">
        <v>125</v>
      </c>
      <c r="P35" s="159">
        <v>125</v>
      </c>
      <c r="Q35" s="99">
        <v>19</v>
      </c>
      <c r="R35" s="99">
        <v>33</v>
      </c>
      <c r="S35" s="99">
        <v>31</v>
      </c>
      <c r="T35" s="99">
        <v>15</v>
      </c>
      <c r="U35" s="99" t="s">
        <v>536</v>
      </c>
      <c r="V35" s="99">
        <v>17</v>
      </c>
      <c r="W35" s="99">
        <v>31</v>
      </c>
      <c r="X35" s="99">
        <v>13</v>
      </c>
      <c r="Y35" s="99">
        <v>56</v>
      </c>
      <c r="Z35" s="99">
        <v>31</v>
      </c>
      <c r="AA35" s="99" t="s">
        <v>536</v>
      </c>
      <c r="AB35" s="99" t="s">
        <v>536</v>
      </c>
      <c r="AC35" s="99" t="s">
        <v>536</v>
      </c>
      <c r="AD35" s="98" t="s">
        <v>316</v>
      </c>
      <c r="AE35" s="100">
        <v>0.21649151172190784</v>
      </c>
      <c r="AF35" s="100">
        <v>0.07</v>
      </c>
      <c r="AG35" s="98">
        <v>598.2215036378335</v>
      </c>
      <c r="AH35" s="98">
        <v>274.858528698464</v>
      </c>
      <c r="AI35" s="100">
        <v>0.027000000000000003</v>
      </c>
      <c r="AJ35" s="100">
        <v>0.805789</v>
      </c>
      <c r="AK35" s="100">
        <v>0.692308</v>
      </c>
      <c r="AL35" s="100">
        <v>0.820092</v>
      </c>
      <c r="AM35" s="100">
        <v>0.658071</v>
      </c>
      <c r="AN35" s="100">
        <v>0.679245</v>
      </c>
      <c r="AO35" s="98">
        <v>2021.018593371059</v>
      </c>
      <c r="AP35" s="158">
        <v>0.9046306610000001</v>
      </c>
      <c r="AQ35" s="100">
        <v>0.152</v>
      </c>
      <c r="AR35" s="100">
        <v>0.5757575757575758</v>
      </c>
      <c r="AS35" s="98">
        <v>501.21261115602266</v>
      </c>
      <c r="AT35" s="98">
        <v>242.5222312045271</v>
      </c>
      <c r="AU35" s="98" t="s">
        <v>536</v>
      </c>
      <c r="AV35" s="98">
        <v>274.858528698464</v>
      </c>
      <c r="AW35" s="98">
        <v>501.21261115602266</v>
      </c>
      <c r="AX35" s="98">
        <v>210.18593371059015</v>
      </c>
      <c r="AY35" s="98">
        <v>905.4163298302344</v>
      </c>
      <c r="AZ35" s="98">
        <v>501.21261115602266</v>
      </c>
      <c r="BA35" s="100" t="s">
        <v>536</v>
      </c>
      <c r="BB35" s="100" t="s">
        <v>536</v>
      </c>
      <c r="BC35" s="100" t="s">
        <v>536</v>
      </c>
      <c r="BD35" s="158">
        <v>0.7530065918</v>
      </c>
      <c r="BE35" s="158">
        <v>1.077826614</v>
      </c>
      <c r="BF35" s="162">
        <v>1071</v>
      </c>
      <c r="BG35" s="162">
        <v>13</v>
      </c>
      <c r="BH35" s="162">
        <v>1523</v>
      </c>
      <c r="BI35" s="162">
        <v>1047</v>
      </c>
      <c r="BJ35" s="162">
        <v>477</v>
      </c>
      <c r="BK35" s="97"/>
      <c r="BL35" s="97"/>
      <c r="BM35" s="97"/>
      <c r="BN35" s="97"/>
    </row>
    <row r="36" spans="1:66" ht="12.75">
      <c r="A36" s="79" t="s">
        <v>502</v>
      </c>
      <c r="B36" s="79" t="s">
        <v>283</v>
      </c>
      <c r="C36" s="79" t="s">
        <v>231</v>
      </c>
      <c r="D36" s="99">
        <v>6588</v>
      </c>
      <c r="E36" s="99">
        <v>1015</v>
      </c>
      <c r="F36" s="99" t="s">
        <v>338</v>
      </c>
      <c r="G36" s="99">
        <v>30</v>
      </c>
      <c r="H36" s="99">
        <v>18</v>
      </c>
      <c r="I36" s="99">
        <v>96</v>
      </c>
      <c r="J36" s="99">
        <v>483</v>
      </c>
      <c r="K36" s="99">
        <v>481</v>
      </c>
      <c r="L36" s="99">
        <v>1238</v>
      </c>
      <c r="M36" s="99">
        <v>326</v>
      </c>
      <c r="N36" s="99">
        <v>150</v>
      </c>
      <c r="O36" s="99">
        <v>72</v>
      </c>
      <c r="P36" s="159">
        <v>72</v>
      </c>
      <c r="Q36" s="99">
        <v>9</v>
      </c>
      <c r="R36" s="99">
        <v>21</v>
      </c>
      <c r="S36" s="99">
        <v>14</v>
      </c>
      <c r="T36" s="99">
        <v>10</v>
      </c>
      <c r="U36" s="99" t="s">
        <v>536</v>
      </c>
      <c r="V36" s="99">
        <v>13</v>
      </c>
      <c r="W36" s="99">
        <v>25</v>
      </c>
      <c r="X36" s="99">
        <v>24</v>
      </c>
      <c r="Y36" s="99">
        <v>67</v>
      </c>
      <c r="Z36" s="99">
        <v>35</v>
      </c>
      <c r="AA36" s="99" t="s">
        <v>536</v>
      </c>
      <c r="AB36" s="99" t="s">
        <v>536</v>
      </c>
      <c r="AC36" s="99" t="s">
        <v>536</v>
      </c>
      <c r="AD36" s="98" t="s">
        <v>316</v>
      </c>
      <c r="AE36" s="100">
        <v>0.15406800242865817</v>
      </c>
      <c r="AF36" s="100">
        <v>0.13</v>
      </c>
      <c r="AG36" s="98">
        <v>455.3734061930783</v>
      </c>
      <c r="AH36" s="98">
        <v>273.224043715847</v>
      </c>
      <c r="AI36" s="100">
        <v>0.015</v>
      </c>
      <c r="AJ36" s="100">
        <v>0.69297</v>
      </c>
      <c r="AK36" s="100">
        <v>0.71471</v>
      </c>
      <c r="AL36" s="100">
        <v>0.792574</v>
      </c>
      <c r="AM36" s="100">
        <v>0.488756</v>
      </c>
      <c r="AN36" s="100">
        <v>0.47619</v>
      </c>
      <c r="AO36" s="98">
        <v>1092.896174863388</v>
      </c>
      <c r="AP36" s="158">
        <v>0.6251676941000001</v>
      </c>
      <c r="AQ36" s="100">
        <v>0.125</v>
      </c>
      <c r="AR36" s="100">
        <v>0.42857142857142855</v>
      </c>
      <c r="AS36" s="98">
        <v>212.5075895567699</v>
      </c>
      <c r="AT36" s="98">
        <v>151.79113539769278</v>
      </c>
      <c r="AU36" s="98" t="s">
        <v>536</v>
      </c>
      <c r="AV36" s="98">
        <v>197.3284760170006</v>
      </c>
      <c r="AW36" s="98">
        <v>379.47783849423195</v>
      </c>
      <c r="AX36" s="98">
        <v>364.29872495446267</v>
      </c>
      <c r="AY36" s="98">
        <v>1017.0006071645416</v>
      </c>
      <c r="AZ36" s="98">
        <v>531.2689738919247</v>
      </c>
      <c r="BA36" s="100" t="s">
        <v>536</v>
      </c>
      <c r="BB36" s="100" t="s">
        <v>536</v>
      </c>
      <c r="BC36" s="100" t="s">
        <v>536</v>
      </c>
      <c r="BD36" s="158">
        <v>0.4891552353</v>
      </c>
      <c r="BE36" s="158">
        <v>0.7872952271</v>
      </c>
      <c r="BF36" s="162">
        <v>697</v>
      </c>
      <c r="BG36" s="162">
        <v>673</v>
      </c>
      <c r="BH36" s="162">
        <v>1562</v>
      </c>
      <c r="BI36" s="162">
        <v>667</v>
      </c>
      <c r="BJ36" s="162">
        <v>315</v>
      </c>
      <c r="BK36" s="97"/>
      <c r="BL36" s="97"/>
      <c r="BM36" s="97"/>
      <c r="BN36" s="97"/>
    </row>
    <row r="37" spans="1:66" ht="12.75">
      <c r="A37" s="79" t="s">
        <v>511</v>
      </c>
      <c r="B37" s="79" t="s">
        <v>294</v>
      </c>
      <c r="C37" s="79" t="s">
        <v>231</v>
      </c>
      <c r="D37" s="99">
        <v>10272</v>
      </c>
      <c r="E37" s="99">
        <v>1991</v>
      </c>
      <c r="F37" s="99" t="s">
        <v>337</v>
      </c>
      <c r="G37" s="99">
        <v>53</v>
      </c>
      <c r="H37" s="99">
        <v>38</v>
      </c>
      <c r="I37" s="99">
        <v>111</v>
      </c>
      <c r="J37" s="99">
        <v>1086</v>
      </c>
      <c r="K37" s="99">
        <v>1094</v>
      </c>
      <c r="L37" s="99">
        <v>2078</v>
      </c>
      <c r="M37" s="99">
        <v>751</v>
      </c>
      <c r="N37" s="99">
        <v>398</v>
      </c>
      <c r="O37" s="99">
        <v>224</v>
      </c>
      <c r="P37" s="159">
        <v>224</v>
      </c>
      <c r="Q37" s="99">
        <v>24</v>
      </c>
      <c r="R37" s="99">
        <v>51</v>
      </c>
      <c r="S37" s="99">
        <v>36</v>
      </c>
      <c r="T37" s="99">
        <v>34</v>
      </c>
      <c r="U37" s="99">
        <v>8</v>
      </c>
      <c r="V37" s="99">
        <v>22</v>
      </c>
      <c r="W37" s="99">
        <v>54</v>
      </c>
      <c r="X37" s="99">
        <v>19</v>
      </c>
      <c r="Y37" s="99">
        <v>102</v>
      </c>
      <c r="Z37" s="99">
        <v>60</v>
      </c>
      <c r="AA37" s="99" t="s">
        <v>536</v>
      </c>
      <c r="AB37" s="99" t="s">
        <v>536</v>
      </c>
      <c r="AC37" s="99" t="s">
        <v>536</v>
      </c>
      <c r="AD37" s="98" t="s">
        <v>316</v>
      </c>
      <c r="AE37" s="100">
        <v>0.1938278816199377</v>
      </c>
      <c r="AF37" s="100">
        <v>0.1</v>
      </c>
      <c r="AG37" s="98">
        <v>515.9657320872274</v>
      </c>
      <c r="AH37" s="98">
        <v>369.9376947040498</v>
      </c>
      <c r="AI37" s="100">
        <v>0.011000000000000001</v>
      </c>
      <c r="AJ37" s="100">
        <v>0.79444</v>
      </c>
      <c r="AK37" s="100">
        <v>0.823175</v>
      </c>
      <c r="AL37" s="100">
        <v>0.821019</v>
      </c>
      <c r="AM37" s="100">
        <v>0.568939</v>
      </c>
      <c r="AN37" s="100">
        <v>0.650327</v>
      </c>
      <c r="AO37" s="98">
        <v>2180.685358255452</v>
      </c>
      <c r="AP37" s="158">
        <v>1.0807730100000001</v>
      </c>
      <c r="AQ37" s="100">
        <v>0.10714285714285714</v>
      </c>
      <c r="AR37" s="100">
        <v>0.47058823529411764</v>
      </c>
      <c r="AS37" s="98">
        <v>350.4672897196262</v>
      </c>
      <c r="AT37" s="98">
        <v>330.9968847352025</v>
      </c>
      <c r="AU37" s="98">
        <v>77.88161993769471</v>
      </c>
      <c r="AV37" s="98">
        <v>214.17445482866043</v>
      </c>
      <c r="AW37" s="98">
        <v>525.7009345794393</v>
      </c>
      <c r="AX37" s="98">
        <v>184.9688473520249</v>
      </c>
      <c r="AY37" s="98">
        <v>992.9906542056075</v>
      </c>
      <c r="AZ37" s="98">
        <v>584.1121495327103</v>
      </c>
      <c r="BA37" s="100" t="s">
        <v>536</v>
      </c>
      <c r="BB37" s="100" t="s">
        <v>536</v>
      </c>
      <c r="BC37" s="100" t="s">
        <v>536</v>
      </c>
      <c r="BD37" s="158">
        <v>0.9438636017</v>
      </c>
      <c r="BE37" s="158">
        <v>1.2319599909999999</v>
      </c>
      <c r="BF37" s="162">
        <v>1367</v>
      </c>
      <c r="BG37" s="162">
        <v>1329</v>
      </c>
      <c r="BH37" s="162">
        <v>2531</v>
      </c>
      <c r="BI37" s="162">
        <v>1320</v>
      </c>
      <c r="BJ37" s="162">
        <v>612</v>
      </c>
      <c r="BK37" s="97"/>
      <c r="BL37" s="97"/>
      <c r="BM37" s="97"/>
      <c r="BN37" s="97"/>
    </row>
    <row r="38" spans="1:66" ht="12.75">
      <c r="A38" s="79" t="s">
        <v>232</v>
      </c>
      <c r="B38" s="94" t="s">
        <v>231</v>
      </c>
      <c r="C38" s="94" t="s">
        <v>7</v>
      </c>
      <c r="D38" s="99">
        <v>203178</v>
      </c>
      <c r="E38" s="99">
        <v>39991</v>
      </c>
      <c r="F38" s="99">
        <v>23067.780000000006</v>
      </c>
      <c r="G38" s="99">
        <v>1026</v>
      </c>
      <c r="H38" s="99">
        <v>511</v>
      </c>
      <c r="I38" s="99">
        <v>3753</v>
      </c>
      <c r="J38" s="99">
        <v>20808</v>
      </c>
      <c r="K38" s="99">
        <v>6969</v>
      </c>
      <c r="L38" s="99">
        <v>39056</v>
      </c>
      <c r="M38" s="99">
        <v>15533</v>
      </c>
      <c r="N38" s="99">
        <v>7776</v>
      </c>
      <c r="O38" s="99">
        <v>4999</v>
      </c>
      <c r="P38" s="99">
        <v>4999</v>
      </c>
      <c r="Q38" s="99">
        <v>590</v>
      </c>
      <c r="R38" s="99">
        <v>1093</v>
      </c>
      <c r="S38" s="99">
        <v>716</v>
      </c>
      <c r="T38" s="99">
        <v>877</v>
      </c>
      <c r="U38" s="99">
        <v>189</v>
      </c>
      <c r="V38" s="99">
        <v>855</v>
      </c>
      <c r="W38" s="99">
        <v>1086</v>
      </c>
      <c r="X38" s="99">
        <v>652</v>
      </c>
      <c r="Y38" s="99">
        <v>2173</v>
      </c>
      <c r="Z38" s="99">
        <v>1081</v>
      </c>
      <c r="AA38" s="99">
        <v>0</v>
      </c>
      <c r="AB38" s="99">
        <v>0</v>
      </c>
      <c r="AC38" s="99">
        <v>0</v>
      </c>
      <c r="AD38" s="98">
        <v>0</v>
      </c>
      <c r="AE38" s="101">
        <v>0.19682741241669865</v>
      </c>
      <c r="AF38" s="101">
        <v>0.11353483152703543</v>
      </c>
      <c r="AG38" s="98">
        <v>504.9759324336296</v>
      </c>
      <c r="AH38" s="98">
        <v>251.5036076740592</v>
      </c>
      <c r="AI38" s="101">
        <v>0.018471488054809082</v>
      </c>
      <c r="AJ38" s="101">
        <v>0.7444722719141323</v>
      </c>
      <c r="AK38" s="101">
        <v>0.76548769771529</v>
      </c>
      <c r="AL38" s="101">
        <v>0.7882457415031888</v>
      </c>
      <c r="AM38" s="101">
        <v>0.5737026777469991</v>
      </c>
      <c r="AN38" s="101">
        <v>0.6174859048677837</v>
      </c>
      <c r="AO38" s="98">
        <v>2460.4041776176555</v>
      </c>
      <c r="AP38" s="98">
        <v>0</v>
      </c>
      <c r="AQ38" s="101">
        <v>0.11802360472094418</v>
      </c>
      <c r="AR38" s="101">
        <v>0.5397987191216834</v>
      </c>
      <c r="AS38" s="98">
        <v>352.4003583065096</v>
      </c>
      <c r="AT38" s="98">
        <v>431.64122099833645</v>
      </c>
      <c r="AU38" s="98">
        <v>93.02188229040546</v>
      </c>
      <c r="AV38" s="98">
        <v>420.8132770280247</v>
      </c>
      <c r="AW38" s="98">
        <v>534.5066887162981</v>
      </c>
      <c r="AX38" s="98">
        <v>320.9008849383299</v>
      </c>
      <c r="AY38" s="98">
        <v>1069.5055567039738</v>
      </c>
      <c r="AZ38" s="98">
        <v>532.045792359409</v>
      </c>
      <c r="BA38" s="101">
        <v>0</v>
      </c>
      <c r="BB38" s="101">
        <v>0</v>
      </c>
      <c r="BC38" s="101">
        <v>0</v>
      </c>
      <c r="BD38" s="98">
        <v>0</v>
      </c>
      <c r="BE38" s="98">
        <v>0</v>
      </c>
      <c r="BF38" s="99">
        <v>27950</v>
      </c>
      <c r="BG38" s="99">
        <v>9104</v>
      </c>
      <c r="BH38" s="99">
        <v>49548</v>
      </c>
      <c r="BI38" s="99">
        <v>27075</v>
      </c>
      <c r="BJ38" s="99">
        <v>12593</v>
      </c>
      <c r="BK38" s="97"/>
      <c r="BL38" s="97"/>
      <c r="BM38" s="97"/>
      <c r="BN38" s="97"/>
    </row>
    <row r="39" spans="1:66" ht="12.75">
      <c r="A39" s="79" t="s">
        <v>24</v>
      </c>
      <c r="B39" s="94" t="s">
        <v>7</v>
      </c>
      <c r="C39" s="94" t="s">
        <v>7</v>
      </c>
      <c r="D39" s="99">
        <v>54615830</v>
      </c>
      <c r="E39" s="99">
        <v>8737890</v>
      </c>
      <c r="F39" s="99">
        <v>8198344.169999988</v>
      </c>
      <c r="G39" s="99">
        <v>243379</v>
      </c>
      <c r="H39" s="99">
        <v>127868</v>
      </c>
      <c r="I39" s="99">
        <v>870616</v>
      </c>
      <c r="J39" s="99">
        <v>4592627</v>
      </c>
      <c r="K39" s="99">
        <v>1679592</v>
      </c>
      <c r="L39" s="99">
        <v>10150944</v>
      </c>
      <c r="M39" s="99">
        <v>2959539</v>
      </c>
      <c r="N39" s="99">
        <v>1629320</v>
      </c>
      <c r="O39" s="99">
        <v>989730</v>
      </c>
      <c r="P39" s="99">
        <v>989730</v>
      </c>
      <c r="Q39" s="99">
        <v>108072</v>
      </c>
      <c r="R39" s="99">
        <v>238330</v>
      </c>
      <c r="S39" s="99">
        <v>206300</v>
      </c>
      <c r="T39" s="99">
        <v>154264</v>
      </c>
      <c r="U39" s="99">
        <v>38486</v>
      </c>
      <c r="V39" s="99">
        <v>176535</v>
      </c>
      <c r="W39" s="99">
        <v>307276</v>
      </c>
      <c r="X39" s="99">
        <v>221506</v>
      </c>
      <c r="Y39" s="99">
        <v>578574</v>
      </c>
      <c r="Z39" s="99">
        <v>318377</v>
      </c>
      <c r="AA39" s="99">
        <v>0</v>
      </c>
      <c r="AB39" s="99">
        <v>0</v>
      </c>
      <c r="AC39" s="99">
        <v>0</v>
      </c>
      <c r="AD39" s="98">
        <v>0</v>
      </c>
      <c r="AE39" s="101">
        <v>0.1599882305185145</v>
      </c>
      <c r="AF39" s="101">
        <v>0.15010930292554353</v>
      </c>
      <c r="AG39" s="98">
        <v>445.6198871279627</v>
      </c>
      <c r="AH39" s="98">
        <v>234.12259778895606</v>
      </c>
      <c r="AI39" s="101">
        <v>0.015940726342527432</v>
      </c>
      <c r="AJ39" s="101">
        <v>0.7248631360507991</v>
      </c>
      <c r="AK39" s="101">
        <v>0.7467412166569077</v>
      </c>
      <c r="AL39" s="101">
        <v>0.7559681673907895</v>
      </c>
      <c r="AM39" s="101">
        <v>0.5147293797466616</v>
      </c>
      <c r="AN39" s="101">
        <v>0.5752927626212945</v>
      </c>
      <c r="AO39" s="98">
        <v>1812.1669120472948</v>
      </c>
      <c r="AP39" s="98">
        <v>1</v>
      </c>
      <c r="AQ39" s="101">
        <v>0.10919341638628717</v>
      </c>
      <c r="AR39" s="101">
        <v>0.4534552930810221</v>
      </c>
      <c r="AS39" s="98">
        <v>377.7293140102421</v>
      </c>
      <c r="AT39" s="98">
        <v>282.45290788403287</v>
      </c>
      <c r="AU39" s="98">
        <v>70.46674929228394</v>
      </c>
      <c r="AV39" s="98">
        <v>323.23046266988894</v>
      </c>
      <c r="AW39" s="98">
        <v>562.6134400960308</v>
      </c>
      <c r="AX39" s="98">
        <v>405.57105879375996</v>
      </c>
      <c r="AY39" s="98">
        <v>1059.3522061277838</v>
      </c>
      <c r="AZ39" s="98">
        <v>582.9390489900089</v>
      </c>
      <c r="BA39" s="101">
        <v>0</v>
      </c>
      <c r="BB39" s="101">
        <v>0</v>
      </c>
      <c r="BC39" s="101">
        <v>0</v>
      </c>
      <c r="BD39" s="98">
        <v>0</v>
      </c>
      <c r="BE39" s="98">
        <v>0</v>
      </c>
      <c r="BF39" s="99">
        <v>6335854</v>
      </c>
      <c r="BG39" s="99">
        <v>2249229</v>
      </c>
      <c r="BH39" s="99">
        <v>13427740</v>
      </c>
      <c r="BI39" s="99">
        <v>5749699</v>
      </c>
      <c r="BJ39" s="99">
        <v>2832158</v>
      </c>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298"/>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5"/>
      <c r="AE80" s="302"/>
      <c r="AF80" s="302"/>
      <c r="AG80" s="295"/>
      <c r="AH80" s="295"/>
      <c r="AI80" s="302"/>
      <c r="AJ80" s="302"/>
      <c r="AK80" s="302"/>
      <c r="AL80" s="302"/>
      <c r="AM80" s="302"/>
      <c r="AN80" s="302"/>
      <c r="AO80" s="295"/>
      <c r="AP80" s="295"/>
      <c r="AQ80" s="302"/>
      <c r="AR80" s="302"/>
      <c r="AS80" s="295"/>
      <c r="AT80" s="295"/>
      <c r="AU80" s="295"/>
      <c r="AV80" s="295"/>
      <c r="AW80" s="295"/>
      <c r="AX80" s="295"/>
      <c r="AY80" s="295"/>
      <c r="AZ80" s="295"/>
      <c r="BA80" s="302"/>
      <c r="BB80" s="302"/>
      <c r="BC80" s="302"/>
      <c r="BD80" s="295"/>
      <c r="BE80" s="295"/>
      <c r="BF80" s="299"/>
      <c r="BG80" s="299"/>
      <c r="BH80" s="299"/>
      <c r="BI80" s="299"/>
      <c r="BJ80" s="299"/>
      <c r="BK80" s="97"/>
      <c r="BL80" s="97"/>
      <c r="BM80" s="97"/>
      <c r="BN80" s="97"/>
    </row>
    <row r="81" spans="1:66" ht="12.75">
      <c r="A81" s="8"/>
      <c r="B81" s="298"/>
      <c r="C81" s="298"/>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5"/>
      <c r="AE81" s="302"/>
      <c r="AF81" s="302"/>
      <c r="AG81" s="295"/>
      <c r="AH81" s="295"/>
      <c r="AI81" s="302"/>
      <c r="AJ81" s="302"/>
      <c r="AK81" s="302"/>
      <c r="AL81" s="302"/>
      <c r="AM81" s="302"/>
      <c r="AN81" s="302"/>
      <c r="AO81" s="295"/>
      <c r="AP81" s="295"/>
      <c r="AQ81" s="302"/>
      <c r="AR81" s="302"/>
      <c r="AS81" s="295"/>
      <c r="AT81" s="295"/>
      <c r="AU81" s="295"/>
      <c r="AV81" s="295"/>
      <c r="AW81" s="295"/>
      <c r="AX81" s="295"/>
      <c r="AY81" s="295"/>
      <c r="AZ81" s="295"/>
      <c r="BA81" s="302"/>
      <c r="BB81" s="302"/>
      <c r="BC81" s="302"/>
      <c r="BD81" s="295"/>
      <c r="BE81" s="295"/>
      <c r="BF81" s="299"/>
      <c r="BG81" s="299"/>
      <c r="BH81" s="299"/>
      <c r="BI81" s="299"/>
      <c r="BJ81" s="299"/>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321</v>
      </c>
      <c r="O4" s="75" t="s">
        <v>320</v>
      </c>
      <c r="P4" s="75" t="s">
        <v>447</v>
      </c>
      <c r="Q4" s="75" t="s">
        <v>448</v>
      </c>
      <c r="R4" s="75" t="s">
        <v>449</v>
      </c>
      <c r="S4" s="75" t="s">
        <v>450</v>
      </c>
      <c r="T4" s="39" t="s">
        <v>278</v>
      </c>
      <c r="U4" s="40" t="s">
        <v>279</v>
      </c>
      <c r="V4" s="41" t="s">
        <v>7</v>
      </c>
      <c r="W4" s="24" t="s">
        <v>2</v>
      </c>
      <c r="X4" s="24" t="s">
        <v>3</v>
      </c>
      <c r="Y4" s="75" t="s">
        <v>546</v>
      </c>
      <c r="Z4" s="75" t="s">
        <v>545</v>
      </c>
      <c r="AA4" s="26" t="s">
        <v>280</v>
      </c>
      <c r="AB4" s="24" t="s">
        <v>5</v>
      </c>
      <c r="AC4" s="75" t="s">
        <v>35</v>
      </c>
      <c r="AD4" s="24" t="s">
        <v>6</v>
      </c>
      <c r="AE4" s="24" t="s">
        <v>281</v>
      </c>
      <c r="AF4" s="24" t="s">
        <v>16</v>
      </c>
      <c r="AG4" s="24" t="s">
        <v>15</v>
      </c>
      <c r="AH4" s="24" t="s">
        <v>14</v>
      </c>
      <c r="AI4" s="25" t="s">
        <v>30</v>
      </c>
      <c r="AJ4" s="47" t="s">
        <v>10</v>
      </c>
      <c r="AK4" s="26" t="s">
        <v>21</v>
      </c>
      <c r="AL4" s="25" t="s">
        <v>22</v>
      </c>
      <c r="AQ4" s="102" t="s">
        <v>362</v>
      </c>
      <c r="AR4" s="102" t="s">
        <v>364</v>
      </c>
      <c r="AS4" s="102" t="s">
        <v>363</v>
      </c>
      <c r="AY4" s="102" t="s">
        <v>444</v>
      </c>
      <c r="AZ4" s="102" t="s">
        <v>445</v>
      </c>
      <c r="BA4" s="102" t="s">
        <v>446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385</v>
      </c>
      <c r="BA5" s="103" t="s">
        <v>316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370</v>
      </c>
      <c r="BA6" s="103" t="s">
        <v>316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507</v>
      </c>
      <c r="E7" s="38">
        <f>IF(LEFT(VLOOKUP($B7,'Indicator chart'!$D$1:$J$36,5,FALSE),1)=" "," ",VLOOKUP($B7,'Indicator chart'!$D$1:$J$36,5,FALSE))</f>
        <v>0.23713751169317118</v>
      </c>
      <c r="F7" s="38">
        <f>IF(LEFT(VLOOKUP($B7,'Indicator chart'!$D$1:$J$36,6,FALSE),1)=" "," ",VLOOKUP($B7,'Indicator chart'!$D$1:$J$36,6,FALSE))</f>
        <v>0.21958982825525053</v>
      </c>
      <c r="G7" s="38">
        <f>IF(LEFT(VLOOKUP($B7,'Indicator chart'!$D$1:$J$36,7,FALSE),1)=" "," ",VLOOKUP($B7,'Indicator chart'!$D$1:$J$36,7,FALSE))</f>
        <v>0.2556281337079497</v>
      </c>
      <c r="H7" s="50">
        <f aca="true" t="shared" si="0" ref="H7:H31">IF(LEFT(F7,1)=" ",4,IF(AND(ABS(N7-E7)&gt;SQRT((E7-G7)^2+(N7-R7)^2),E7&lt;N7),1,IF(AND(ABS(N7-E7)&gt;SQRT((E7-F7)^2+(N7-S7)^2),E7&gt;N7),3,2)))</f>
        <v>3</v>
      </c>
      <c r="I7" s="38">
        <v>0.04957983270287514</v>
      </c>
      <c r="J7" s="38">
        <v>0.18649807572364807</v>
      </c>
      <c r="K7" s="38">
        <v>0.19509932398796082</v>
      </c>
      <c r="L7" s="38">
        <v>0.211435467004776</v>
      </c>
      <c r="M7" s="38">
        <v>0.23713751137256622</v>
      </c>
      <c r="N7" s="80">
        <f>VLOOKUP('Hide - Control'!B$3,'All practice data'!A:CA,A7+29,FALSE)</f>
        <v>0.19682741241669865</v>
      </c>
      <c r="O7" s="80">
        <f>VLOOKUP('Hide - Control'!C$3,'All practice data'!A:CA,A7+29,FALSE)</f>
        <v>0.1599882305185145</v>
      </c>
      <c r="P7" s="38">
        <f>VLOOKUP('Hide - Control'!$B$4,'All practice data'!B:BC,A7+2,FALSE)</f>
        <v>39991</v>
      </c>
      <c r="Q7" s="38">
        <f>VLOOKUP('Hide - Control'!$B$4,'All practice data'!B:BC,3,FALSE)</f>
        <v>203178</v>
      </c>
      <c r="R7" s="38">
        <f>+((2*P7+1.96^2-1.96*SQRT(1.96^2+4*P7*(1-P7/Q7)))/(2*(Q7+1.96^2)))</f>
        <v>0.1951042709623256</v>
      </c>
      <c r="S7" s="38">
        <f>+((2*P7+1.96^2+1.96*SQRT(1.96^2+4*P7*(1-P7/Q7)))/(2*(Q7+1.96^2)))</f>
        <v>0.1985620181614166</v>
      </c>
      <c r="T7" s="53">
        <f>IF($C7=1,M7,I7)</f>
        <v>0.23713751137256622</v>
      </c>
      <c r="U7" s="51">
        <f aca="true" t="shared" si="1" ref="U7:U15">IF($C7=1,I7,M7)</f>
        <v>0.04957983270287514</v>
      </c>
      <c r="V7" s="7">
        <v>1</v>
      </c>
      <c r="W7" s="27">
        <f aca="true" t="shared" si="2" ref="W7:W31">IF((K7-I7)&gt;(M7-K7),I7,(K7-(M7-K7)))</f>
        <v>0.04957983270287514</v>
      </c>
      <c r="X7" s="27">
        <f aca="true" t="shared" si="3" ref="X7:X31">IF(W7=I7,K7+(K7-I7),M7)</f>
        <v>0.3406188152730465</v>
      </c>
      <c r="Y7" s="27">
        <f aca="true" t="shared" si="4" ref="Y7:Y31">IF(C7=1,W7,X7)</f>
        <v>0.04957983270287514</v>
      </c>
      <c r="Z7" s="27">
        <f aca="true" t="shared" si="5" ref="Z7:Z31">IF(C7=1,X7,W7)</f>
        <v>0.3406188152730465</v>
      </c>
      <c r="AA7" s="32">
        <f aca="true" t="shared" si="6" ref="AA7:AA31">IF(ISERROR(IF(C7=1,(I7-$Y7)/($Z7-$Y7),(U7-$Y7)/($Z7-$Y7))),"",IF(C7=1,(I7-$Y7)/($Z7-$Y7),(U7-$Y7)/($Z7-$Y7)))</f>
        <v>0</v>
      </c>
      <c r="AB7" s="33">
        <f aca="true" t="shared" si="7" ref="AB7:AB31">IF(ISERROR(IF(C7=1,(J7-$Y7)/($Z7-$Y7),(L7-$Y7)/($Z7-$Y7))),"",IF(C7=1,(J7-$Y7)/($Z7-$Y7),(L7-$Y7)/($Z7-$Y7)))</f>
        <v>0.4704464048480553</v>
      </c>
      <c r="AC7" s="33">
        <v>0.5</v>
      </c>
      <c r="AD7" s="33">
        <f aca="true" t="shared" si="8" ref="AD7:AD31">IF(ISERROR(IF(C7=1,(L7-$Y7)/($Z7-$Y7),(J7-$Y7)/($Z7-$Y7))),"",IF(C7=1,(L7-$Y7)/($Z7-$Y7),(J7-$Y7)/($Z7-$Y7)))</f>
        <v>0.556130429238552</v>
      </c>
      <c r="AE7" s="33">
        <f aca="true" t="shared" si="9" ref="AE7:AE31">IF(ISERROR(IF(C7=1,(M7-$Y7)/($Z7-$Y7),(I7-$Y7)/($Z7-$Y7))),"",IF(C7=1,(M7-$Y7)/($Z7-$Y7),(I7-$Y7)/($Z7-$Y7)))</f>
        <v>0.6444417755084397</v>
      </c>
      <c r="AF7" s="33">
        <f aca="true" t="shared" si="10" ref="AF7:AF30">IF(E7=" ",-999,IF(H7=4,(E7-$Y7)/($Z7-$Y7),-999))</f>
        <v>-999</v>
      </c>
      <c r="AG7" s="33">
        <f aca="true" t="shared" si="11" ref="AG7:AG31">IF(E7=" ",-999,IF(H7=2,(E7-$Y7)/($Z7-$Y7),-999))</f>
        <v>-999</v>
      </c>
      <c r="AH7" s="33">
        <f aca="true" t="shared" si="12" ref="AH7:AH31">IF(E7=" ",-999,IF(MAX(AK7:AL7)&gt;-999,MAX(AK7:AL7),-999))</f>
        <v>0.6444417766100274</v>
      </c>
      <c r="AI7" s="34">
        <f aca="true" t="shared" si="13" ref="AI7:AI31">IF(ISERROR((O7-$Y7)/($Z7-$Y7)),-999,(O7-$Y7)/($Z7-$Y7))</f>
        <v>0.37935948250169266</v>
      </c>
      <c r="AJ7" s="4">
        <v>2.7020512924389086</v>
      </c>
      <c r="AK7" s="32">
        <f aca="true" t="shared" si="14" ref="AK7:AK31">IF(H7=1,(E7-$Y7)/($Z7-$Y7),-999)</f>
        <v>-999</v>
      </c>
      <c r="AL7" s="34">
        <f aca="true" t="shared" si="15" ref="AL7:AL31">IF(H7=3,(E7-$Y7)/($Z7-$Y7),-999)</f>
        <v>0.6444417766100274</v>
      </c>
      <c r="AQ7" s="103">
        <v>2</v>
      </c>
      <c r="AR7" s="103">
        <v>0.2422</v>
      </c>
      <c r="AS7" s="103">
        <v>7.2247</v>
      </c>
      <c r="AY7" s="103" t="s">
        <v>68</v>
      </c>
      <c r="AZ7" s="103" t="s">
        <v>369</v>
      </c>
      <c r="BA7" s="103" t="s">
        <v>316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0.05993805841768196</v>
      </c>
      <c r="G8" s="38">
        <f>IF(LEFT(VLOOKUP($B8,'Indicator chart'!$D$1:$J$36,7,FALSE),1)=" "," ",VLOOKUP($B8,'Indicator chart'!$D$1:$J$36,7,FALSE))</f>
        <v>0.08160443473400582</v>
      </c>
      <c r="H8" s="50">
        <f t="shared" si="0"/>
        <v>1</v>
      </c>
      <c r="I8" s="38">
        <v>0.05000000074505806</v>
      </c>
      <c r="J8" s="38">
        <v>0.10000000149011612</v>
      </c>
      <c r="K8" s="38">
        <v>0.10999999940395355</v>
      </c>
      <c r="L8" s="38">
        <v>0.13750000298023224</v>
      </c>
      <c r="M8" s="38">
        <v>0.20000000298023224</v>
      </c>
      <c r="N8" s="80">
        <f>VLOOKUP('Hide - Control'!B$3,'All practice data'!A:CA,A8+29,FALSE)</f>
        <v>0.11353483152703543</v>
      </c>
      <c r="O8" s="80">
        <f>VLOOKUP('Hide - Control'!C$3,'All practice data'!A:CA,A8+29,FALSE)</f>
        <v>0.15010930292554353</v>
      </c>
      <c r="P8" s="38">
        <f>VLOOKUP('Hide - Control'!$B$4,'All practice data'!B:BC,A8+2,FALSE)</f>
        <v>23067.780000000006</v>
      </c>
      <c r="Q8" s="38">
        <f>VLOOKUP('Hide - Control'!$B$4,'All practice data'!B:BC,3,FALSE)</f>
        <v>203178</v>
      </c>
      <c r="R8" s="38">
        <f>+((2*P8+1.96^2-1.96*SQRT(1.96^2+4*P8*(1-P8/Q8)))/(2*(Q8+1.96^2)))</f>
        <v>0.11216265943176731</v>
      </c>
      <c r="S8" s="38">
        <f>+((2*P8+1.96^2+1.96*SQRT(1.96^2+4*P8*(1-P8/Q8)))/(2*(Q8+1.96^2)))</f>
        <v>0.11492161757185253</v>
      </c>
      <c r="T8" s="53">
        <f aca="true" t="shared" si="16" ref="T8:T15">IF($C8=1,M8,I8)</f>
        <v>0.20000000298023224</v>
      </c>
      <c r="U8" s="51">
        <f t="shared" si="1"/>
        <v>0.05000000074505806</v>
      </c>
      <c r="V8" s="7"/>
      <c r="W8" s="27">
        <f t="shared" si="2"/>
        <v>0.019999995827674866</v>
      </c>
      <c r="X8" s="27">
        <f t="shared" si="3"/>
        <v>0.20000000298023224</v>
      </c>
      <c r="Y8" s="27">
        <f t="shared" si="4"/>
        <v>0.019999995827674866</v>
      </c>
      <c r="Z8" s="27">
        <f t="shared" si="5"/>
        <v>0.20000000298023224</v>
      </c>
      <c r="AA8" s="32">
        <f t="shared" si="6"/>
        <v>0.16666668736272305</v>
      </c>
      <c r="AB8" s="33">
        <f t="shared" si="7"/>
        <v>0.4444444582418154</v>
      </c>
      <c r="AC8" s="33">
        <v>0.5</v>
      </c>
      <c r="AD8" s="33">
        <f t="shared" si="8"/>
        <v>0.6527777915751487</v>
      </c>
      <c r="AE8" s="33">
        <f t="shared" si="9"/>
        <v>1</v>
      </c>
      <c r="AF8" s="33">
        <f t="shared" si="10"/>
        <v>-999</v>
      </c>
      <c r="AG8" s="33">
        <f t="shared" si="11"/>
        <v>-999</v>
      </c>
      <c r="AH8" s="33">
        <f t="shared" si="12"/>
        <v>0.2777777899194642</v>
      </c>
      <c r="AI8" s="34">
        <f t="shared" si="13"/>
        <v>0.7228294551543862</v>
      </c>
      <c r="AJ8" s="4">
        <v>3.778046717820832</v>
      </c>
      <c r="AK8" s="32">
        <f t="shared" si="14"/>
        <v>0.2777777899194642</v>
      </c>
      <c r="AL8" s="34">
        <f t="shared" si="15"/>
        <v>-999</v>
      </c>
      <c r="AQ8" s="103">
        <v>3</v>
      </c>
      <c r="AR8" s="103">
        <v>0.6187</v>
      </c>
      <c r="AS8" s="103">
        <v>8.7673</v>
      </c>
      <c r="AY8" s="103" t="s">
        <v>118</v>
      </c>
      <c r="AZ8" s="103" t="s">
        <v>119</v>
      </c>
      <c r="BA8" s="103" t="s">
        <v>316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14</v>
      </c>
      <c r="E9" s="38">
        <f>IF(LEFT(VLOOKUP($B9,'Indicator chart'!$D$1:$J$36,5,FALSE),1)=" "," ",VLOOKUP($B9,'Indicator chart'!$D$1:$J$36,5,FALSE))</f>
        <v>654.8175865294668</v>
      </c>
      <c r="F9" s="38">
        <f>IF(LEFT(VLOOKUP($B9,'Indicator chart'!$D$1:$J$36,6,FALSE),1)=" "," ",VLOOKUP($B9,'Indicator chart'!$D$1:$J$36,6,FALSE))</f>
        <v>357.69133071768954</v>
      </c>
      <c r="G9" s="38">
        <f>IF(LEFT(VLOOKUP($B9,'Indicator chart'!$D$1:$J$36,7,FALSE),1)=" "," ",VLOOKUP($B9,'Indicator chart'!$D$1:$J$36,7,FALSE))</f>
        <v>1098.745831965517</v>
      </c>
      <c r="H9" s="50">
        <f t="shared" si="0"/>
        <v>2</v>
      </c>
      <c r="I9" s="38">
        <v>92.60600280761719</v>
      </c>
      <c r="J9" s="38">
        <v>449.413818359375</v>
      </c>
      <c r="K9" s="38">
        <v>508.9671325683594</v>
      </c>
      <c r="L9" s="38">
        <v>597.0905151367188</v>
      </c>
      <c r="M9" s="38">
        <v>889.801513671875</v>
      </c>
      <c r="N9" s="80">
        <f>VLOOKUP('Hide - Control'!B$3,'All practice data'!A:CA,A9+29,FALSE)</f>
        <v>504.9759324336296</v>
      </c>
      <c r="O9" s="80">
        <f>VLOOKUP('Hide - Control'!C$3,'All practice data'!A:CA,A9+29,FALSE)</f>
        <v>445.6198871279627</v>
      </c>
      <c r="P9" s="38">
        <f>VLOOKUP('Hide - Control'!$B$4,'All practice data'!B:BC,A9+2,FALSE)</f>
        <v>1026</v>
      </c>
      <c r="Q9" s="38">
        <f>VLOOKUP('Hide - Control'!$B$4,'All practice data'!B:BC,3,FALSE)</f>
        <v>203178</v>
      </c>
      <c r="R9" s="38">
        <f>100000*(P9*(1-1/(9*P9)-1.96/(3*SQRT(P9)))^3)/Q9</f>
        <v>474.544866156169</v>
      </c>
      <c r="S9" s="38">
        <f>100000*((P9+1)*(1-1/(9*(P9+1))+1.96/(3*SQRT(P9+1)))^3)/Q9</f>
        <v>536.8465172655618</v>
      </c>
      <c r="T9" s="53">
        <f t="shared" si="16"/>
        <v>889.801513671875</v>
      </c>
      <c r="U9" s="51">
        <f t="shared" si="1"/>
        <v>92.60600280761719</v>
      </c>
      <c r="V9" s="7"/>
      <c r="W9" s="27">
        <f t="shared" si="2"/>
        <v>92.60600280761719</v>
      </c>
      <c r="X9" s="27">
        <f t="shared" si="3"/>
        <v>925.3282623291016</v>
      </c>
      <c r="Y9" s="27">
        <f t="shared" si="4"/>
        <v>92.60600280761719</v>
      </c>
      <c r="Z9" s="27">
        <f t="shared" si="5"/>
        <v>925.3282623291016</v>
      </c>
      <c r="AA9" s="32">
        <f t="shared" si="6"/>
        <v>0</v>
      </c>
      <c r="AB9" s="33">
        <f t="shared" si="7"/>
        <v>0.42848358077613286</v>
      </c>
      <c r="AC9" s="33">
        <v>0.5</v>
      </c>
      <c r="AD9" s="33">
        <f t="shared" si="8"/>
        <v>0.6058256598292432</v>
      </c>
      <c r="AE9" s="33">
        <f t="shared" si="9"/>
        <v>0.9573366170400661</v>
      </c>
      <c r="AF9" s="33">
        <f t="shared" si="10"/>
        <v>-999</v>
      </c>
      <c r="AG9" s="33">
        <f t="shared" si="11"/>
        <v>0.6751489794987814</v>
      </c>
      <c r="AH9" s="33">
        <f t="shared" si="12"/>
        <v>-999</v>
      </c>
      <c r="AI9" s="34">
        <f t="shared" si="13"/>
        <v>0.42392752239288223</v>
      </c>
      <c r="AJ9" s="4">
        <v>4.854042143202755</v>
      </c>
      <c r="AK9" s="32">
        <f t="shared" si="14"/>
        <v>-999</v>
      </c>
      <c r="AL9" s="34">
        <f t="shared" si="15"/>
        <v>-999</v>
      </c>
      <c r="AQ9" s="103">
        <v>4</v>
      </c>
      <c r="AR9" s="103">
        <v>1.0899</v>
      </c>
      <c r="AS9" s="103">
        <v>10.2416</v>
      </c>
      <c r="AY9" s="103" t="s">
        <v>90</v>
      </c>
      <c r="AZ9" s="103" t="s">
        <v>379</v>
      </c>
      <c r="BA9" s="103" t="s">
        <v>316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280.63610851262865</v>
      </c>
      <c r="F10" s="38">
        <f>IF(LEFT(VLOOKUP($B10,'Indicator chart'!$D$1:$J$36,6,FALSE),1)=" "," ",VLOOKUP($B10,'Indicator chart'!$D$1:$J$36,6,FALSE))</f>
        <v>102.47618057454066</v>
      </c>
      <c r="G10" s="38">
        <f>IF(LEFT(VLOOKUP($B10,'Indicator chart'!$D$1:$J$36,7,FALSE),1)=" "," ",VLOOKUP($B10,'Indicator chart'!$D$1:$J$36,7,FALSE))</f>
        <v>610.8463642973695</v>
      </c>
      <c r="H10" s="50">
        <f t="shared" si="0"/>
        <v>2</v>
      </c>
      <c r="I10" s="38">
        <v>44.173431396484375</v>
      </c>
      <c r="J10" s="38">
        <v>180.12022399902344</v>
      </c>
      <c r="K10" s="38">
        <v>265.8668212890625</v>
      </c>
      <c r="L10" s="38">
        <v>290.9871520996094</v>
      </c>
      <c r="M10" s="38">
        <v>410.6776123046875</v>
      </c>
      <c r="N10" s="80">
        <f>VLOOKUP('Hide - Control'!B$3,'All practice data'!A:CA,A10+29,FALSE)</f>
        <v>251.5036076740592</v>
      </c>
      <c r="O10" s="80">
        <f>VLOOKUP('Hide - Control'!C$3,'All practice data'!A:CA,A10+29,FALSE)</f>
        <v>234.12259778895606</v>
      </c>
      <c r="P10" s="38">
        <f>VLOOKUP('Hide - Control'!$B$4,'All practice data'!B:BC,A10+2,FALSE)</f>
        <v>511</v>
      </c>
      <c r="Q10" s="38">
        <f>VLOOKUP('Hide - Control'!$B$4,'All practice data'!B:BC,3,FALSE)</f>
        <v>203178</v>
      </c>
      <c r="R10" s="38">
        <f>100000*(P10*(1-1/(9*P10)-1.96/(3*SQRT(P10)))^3)/Q10</f>
        <v>230.1664143609431</v>
      </c>
      <c r="S10" s="38">
        <f>100000*((P10+1)*(1-1/(9*(P10+1))+1.96/(3*SQRT(P10+1)))^3)/Q10</f>
        <v>274.2864923025622</v>
      </c>
      <c r="T10" s="53">
        <f t="shared" si="16"/>
        <v>410.6776123046875</v>
      </c>
      <c r="U10" s="51">
        <f t="shared" si="1"/>
        <v>44.173431396484375</v>
      </c>
      <c r="V10" s="7"/>
      <c r="W10" s="27">
        <f t="shared" si="2"/>
        <v>44.173431396484375</v>
      </c>
      <c r="X10" s="27">
        <f t="shared" si="3"/>
        <v>487.5602111816406</v>
      </c>
      <c r="Y10" s="27">
        <f t="shared" si="4"/>
        <v>44.173431396484375</v>
      </c>
      <c r="Z10" s="27">
        <f t="shared" si="5"/>
        <v>487.5602111816406</v>
      </c>
      <c r="AA10" s="32">
        <f t="shared" si="6"/>
        <v>0</v>
      </c>
      <c r="AB10" s="33">
        <f t="shared" si="7"/>
        <v>0.30660993696837846</v>
      </c>
      <c r="AC10" s="33">
        <v>0.5</v>
      </c>
      <c r="AD10" s="33">
        <f t="shared" si="8"/>
        <v>0.5566555701609303</v>
      </c>
      <c r="AE10" s="33">
        <f t="shared" si="9"/>
        <v>0.8266015082492836</v>
      </c>
      <c r="AF10" s="33">
        <f t="shared" si="10"/>
        <v>-999</v>
      </c>
      <c r="AG10" s="33">
        <f t="shared" si="11"/>
        <v>0.5333101659700423</v>
      </c>
      <c r="AH10" s="33">
        <f t="shared" si="12"/>
        <v>-999</v>
      </c>
      <c r="AI10" s="34">
        <f t="shared" si="13"/>
        <v>0.42840511953133076</v>
      </c>
      <c r="AJ10" s="4">
        <v>5.930037568584676</v>
      </c>
      <c r="AK10" s="32">
        <f t="shared" si="14"/>
        <v>-999</v>
      </c>
      <c r="AL10" s="34">
        <f t="shared" si="15"/>
        <v>-999</v>
      </c>
      <c r="AY10" s="103" t="s">
        <v>96</v>
      </c>
      <c r="AZ10" s="103" t="s">
        <v>97</v>
      </c>
      <c r="BA10" s="103" t="s">
        <v>496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39</v>
      </c>
      <c r="E11" s="38">
        <f>IF(LEFT(VLOOKUP($B11,'Indicator chart'!$D$1:$J$36,5,FALSE),1)=" "," ",VLOOKUP($B11,'Indicator chart'!$D$1:$J$36,5,FALSE))</f>
        <v>0.018000000000000002</v>
      </c>
      <c r="F11" s="38">
        <f>IF(LEFT(VLOOKUP($B11,'Indicator chart'!$D$1:$J$36,6,FALSE),1)=" "," ",VLOOKUP($B11,'Indicator chart'!$D$1:$J$36,6,FALSE))</f>
        <v>0.013372414459795805</v>
      </c>
      <c r="G11" s="38">
        <f>IF(LEFT(VLOOKUP($B11,'Indicator chart'!$D$1:$J$36,7,FALSE),1)=" "," ",VLOOKUP($B11,'Indicator chart'!$D$1:$J$36,7,FALSE))</f>
        <v>0.02483844109553564</v>
      </c>
      <c r="H11" s="50">
        <f t="shared" si="0"/>
        <v>2</v>
      </c>
      <c r="I11" s="38">
        <v>0.003000000026077032</v>
      </c>
      <c r="J11" s="38">
        <v>0.016249999403953552</v>
      </c>
      <c r="K11" s="38">
        <v>0.01850000023841858</v>
      </c>
      <c r="L11" s="38">
        <v>0.020999999716877937</v>
      </c>
      <c r="M11" s="38">
        <v>0.027000000700354576</v>
      </c>
      <c r="N11" s="80">
        <f>VLOOKUP('Hide - Control'!B$3,'All practice data'!A:CA,A11+29,FALSE)</f>
        <v>0.018471488054809082</v>
      </c>
      <c r="O11" s="80">
        <f>VLOOKUP('Hide - Control'!C$3,'All practice data'!A:CA,A11+29,FALSE)</f>
        <v>0.015940726342527432</v>
      </c>
      <c r="P11" s="38">
        <f>VLOOKUP('Hide - Control'!$B$4,'All practice data'!B:BC,A11+2,FALSE)</f>
        <v>3753</v>
      </c>
      <c r="Q11" s="38">
        <f>VLOOKUP('Hide - Control'!$B$4,'All practice data'!B:BC,3,FALSE)</f>
        <v>203178</v>
      </c>
      <c r="R11" s="80">
        <f aca="true" t="shared" si="17" ref="R11:R16">+((2*P11+1.96^2-1.96*SQRT(1.96^2+4*P11*(1-P11/Q11)))/(2*(Q11+1.96^2)))</f>
        <v>0.01789503628675011</v>
      </c>
      <c r="S11" s="80">
        <f aca="true" t="shared" si="18" ref="S11:S16">+((2*P11+1.96^2+1.96*SQRT(1.96^2+4*P11*(1-P11/Q11)))/(2*(Q11+1.96^2)))</f>
        <v>0.019066148535978652</v>
      </c>
      <c r="T11" s="53">
        <f t="shared" si="16"/>
        <v>0.027000000700354576</v>
      </c>
      <c r="U11" s="51">
        <f t="shared" si="1"/>
        <v>0.003000000026077032</v>
      </c>
      <c r="V11" s="7"/>
      <c r="W11" s="27">
        <f t="shared" si="2"/>
        <v>0.003000000026077032</v>
      </c>
      <c r="X11" s="27">
        <f t="shared" si="3"/>
        <v>0.034000000450760126</v>
      </c>
      <c r="Y11" s="27">
        <f t="shared" si="4"/>
        <v>0.003000000026077032</v>
      </c>
      <c r="Z11" s="27">
        <f t="shared" si="5"/>
        <v>0.034000000450760126</v>
      </c>
      <c r="AA11" s="32">
        <f t="shared" si="6"/>
        <v>0</v>
      </c>
      <c r="AB11" s="33">
        <f t="shared" si="7"/>
        <v>0.4274193289147986</v>
      </c>
      <c r="AC11" s="33">
        <v>0.5</v>
      </c>
      <c r="AD11" s="33">
        <f t="shared" si="8"/>
        <v>0.5806451433616364</v>
      </c>
      <c r="AE11" s="33">
        <f t="shared" si="9"/>
        <v>0.7741935595319558</v>
      </c>
      <c r="AF11" s="33">
        <f t="shared" si="10"/>
        <v>-999</v>
      </c>
      <c r="AG11" s="33">
        <f t="shared" si="11"/>
        <v>0.4838709602719727</v>
      </c>
      <c r="AH11" s="33">
        <f t="shared" si="12"/>
        <v>-999</v>
      </c>
      <c r="AI11" s="34">
        <f t="shared" si="13"/>
        <v>0.41744277868288737</v>
      </c>
      <c r="AJ11" s="4">
        <v>7.0060329939666</v>
      </c>
      <c r="AK11" s="32">
        <f t="shared" si="14"/>
        <v>-999</v>
      </c>
      <c r="AL11" s="34">
        <f t="shared" si="15"/>
        <v>-999</v>
      </c>
      <c r="AY11" s="103" t="s">
        <v>214</v>
      </c>
      <c r="AZ11" s="103" t="s">
        <v>215</v>
      </c>
      <c r="BA11" s="103" t="s">
        <v>496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243</v>
      </c>
      <c r="E12" s="38">
        <f>IF(LEFT(VLOOKUP($B12,'Indicator chart'!$D$1:$J$36,5,FALSE),1)=" "," ",VLOOKUP($B12,'Indicator chart'!$D$1:$J$36,5,FALSE))</f>
        <v>0.721068</v>
      </c>
      <c r="F12" s="38">
        <f>IF(LEFT(VLOOKUP($B12,'Indicator chart'!$D$1:$J$36,6,FALSE),1)=" "," ",VLOOKUP($B12,'Indicator chart'!$D$1:$J$36,6,FALSE))</f>
        <v>0.6708993975802501</v>
      </c>
      <c r="G12" s="38">
        <f>IF(LEFT(VLOOKUP($B12,'Indicator chart'!$D$1:$J$36,7,FALSE),1)=" "," ",VLOOKUP($B12,'Indicator chart'!$D$1:$J$36,7,FALSE))</f>
        <v>0.7662538137648438</v>
      </c>
      <c r="H12" s="50">
        <f t="shared" si="0"/>
        <v>2</v>
      </c>
      <c r="I12" s="38">
        <v>0.5699149966239929</v>
      </c>
      <c r="J12" s="38">
        <v>0.7194007635116577</v>
      </c>
      <c r="K12" s="38">
        <v>0.7455880045890808</v>
      </c>
      <c r="L12" s="38">
        <v>0.7665457725524902</v>
      </c>
      <c r="M12" s="38">
        <v>0.8057889938354492</v>
      </c>
      <c r="N12" s="80">
        <f>VLOOKUP('Hide - Control'!B$3,'All practice data'!A:CA,A12+29,FALSE)</f>
        <v>0.7444722719141323</v>
      </c>
      <c r="O12" s="80">
        <f>VLOOKUP('Hide - Control'!C$3,'All practice data'!A:CA,A12+29,FALSE)</f>
        <v>0.7248631360507991</v>
      </c>
      <c r="P12" s="38">
        <f>VLOOKUP('Hide - Control'!$B$4,'All practice data'!B:BC,A12+2,FALSE)</f>
        <v>20808</v>
      </c>
      <c r="Q12" s="38">
        <f>VLOOKUP('Hide - Control'!$B$4,'All practice data'!B:BJ,57,FALSE)</f>
        <v>27950</v>
      </c>
      <c r="R12" s="38">
        <f t="shared" si="17"/>
        <v>0.7393255314836674</v>
      </c>
      <c r="S12" s="38">
        <f t="shared" si="18"/>
        <v>0.7495518183829785</v>
      </c>
      <c r="T12" s="53">
        <f t="shared" si="16"/>
        <v>0.8057889938354492</v>
      </c>
      <c r="U12" s="51">
        <f t="shared" si="1"/>
        <v>0.5699149966239929</v>
      </c>
      <c r="V12" s="7"/>
      <c r="W12" s="27">
        <f t="shared" si="2"/>
        <v>0.5699149966239929</v>
      </c>
      <c r="X12" s="27">
        <f t="shared" si="3"/>
        <v>0.9212610125541687</v>
      </c>
      <c r="Y12" s="27">
        <f t="shared" si="4"/>
        <v>0.5699149966239929</v>
      </c>
      <c r="Z12" s="27">
        <f t="shared" si="5"/>
        <v>0.9212610125541687</v>
      </c>
      <c r="AA12" s="32">
        <f t="shared" si="6"/>
        <v>0</v>
      </c>
      <c r="AB12" s="33">
        <f t="shared" si="7"/>
        <v>0.42546595125579173</v>
      </c>
      <c r="AC12" s="33">
        <v>0.5</v>
      </c>
      <c r="AD12" s="33">
        <f t="shared" si="8"/>
        <v>0.5596499377057813</v>
      </c>
      <c r="AE12" s="33">
        <f t="shared" si="9"/>
        <v>0.6713438790162127</v>
      </c>
      <c r="AF12" s="33">
        <f t="shared" si="10"/>
        <v>-999</v>
      </c>
      <c r="AG12" s="33">
        <f t="shared" si="11"/>
        <v>0.4302112348587049</v>
      </c>
      <c r="AH12" s="33">
        <f t="shared" si="12"/>
        <v>-999</v>
      </c>
      <c r="AI12" s="34">
        <f t="shared" si="13"/>
        <v>0.441012939954895</v>
      </c>
      <c r="AJ12" s="4">
        <v>8.082028419348523</v>
      </c>
      <c r="AK12" s="32">
        <f t="shared" si="14"/>
        <v>-999</v>
      </c>
      <c r="AL12" s="34">
        <f t="shared" si="15"/>
        <v>-999</v>
      </c>
      <c r="AY12" s="103" t="s">
        <v>261</v>
      </c>
      <c r="AZ12" s="103" t="s">
        <v>432</v>
      </c>
      <c r="BA12" s="103" t="s">
        <v>316</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0.33333298563957214</v>
      </c>
      <c r="J13" s="38">
        <v>0.625466525554657</v>
      </c>
      <c r="K13" s="38">
        <v>0.729951024055481</v>
      </c>
      <c r="L13" s="38">
        <v>0.7683282494544983</v>
      </c>
      <c r="M13" s="38">
        <v>1</v>
      </c>
      <c r="N13" s="80">
        <f>VLOOKUP('Hide - Control'!B$3,'All practice data'!A:CA,A13+29,FALSE)</f>
        <v>0.76548769771529</v>
      </c>
      <c r="O13" s="80">
        <f>VLOOKUP('Hide - Control'!C$3,'All practice data'!A:CA,A13+29,FALSE)</f>
        <v>0.7467412166569077</v>
      </c>
      <c r="P13" s="38">
        <f>VLOOKUP('Hide - Control'!$B$4,'All practice data'!B:BC,A13+2,FALSE)</f>
        <v>6969</v>
      </c>
      <c r="Q13" s="38">
        <f>VLOOKUP('Hide - Control'!$B$4,'All practice data'!B:BJ,58,FALSE)</f>
        <v>9104</v>
      </c>
      <c r="R13" s="38">
        <f t="shared" si="17"/>
        <v>0.7566733741310612</v>
      </c>
      <c r="S13" s="38">
        <f t="shared" si="18"/>
        <v>0.7740780609839282</v>
      </c>
      <c r="T13" s="53">
        <f t="shared" si="16"/>
        <v>1</v>
      </c>
      <c r="U13" s="51">
        <f t="shared" si="1"/>
        <v>0.33333298563957214</v>
      </c>
      <c r="V13" s="7"/>
      <c r="W13" s="27">
        <f t="shared" si="2"/>
        <v>0.33333298563957214</v>
      </c>
      <c r="X13" s="27">
        <f t="shared" si="3"/>
        <v>1.1265690624713898</v>
      </c>
      <c r="Y13" s="27">
        <f t="shared" si="4"/>
        <v>0.33333298563957214</v>
      </c>
      <c r="Z13" s="27">
        <f t="shared" si="5"/>
        <v>1.1265690624713898</v>
      </c>
      <c r="AA13" s="32">
        <f t="shared" si="6"/>
        <v>0</v>
      </c>
      <c r="AB13" s="33">
        <f t="shared" si="7"/>
        <v>0.3682807028670018</v>
      </c>
      <c r="AC13" s="33">
        <v>0.5</v>
      </c>
      <c r="AD13" s="33">
        <f t="shared" si="8"/>
        <v>0.5483805849480471</v>
      </c>
      <c r="AE13" s="33">
        <f t="shared" si="9"/>
        <v>0.8404396040874663</v>
      </c>
      <c r="AF13" s="33">
        <f t="shared" si="10"/>
        <v>-999</v>
      </c>
      <c r="AG13" s="33">
        <f t="shared" si="11"/>
        <v>-999</v>
      </c>
      <c r="AH13" s="33">
        <f t="shared" si="12"/>
        <v>-999</v>
      </c>
      <c r="AI13" s="34">
        <f t="shared" si="13"/>
        <v>0.5211667031944471</v>
      </c>
      <c r="AJ13" s="4">
        <v>9.158023844730446</v>
      </c>
      <c r="AK13" s="32">
        <f t="shared" si="14"/>
        <v>-999</v>
      </c>
      <c r="AL13" s="34">
        <f t="shared" si="15"/>
        <v>-999</v>
      </c>
      <c r="AY13" s="103" t="s">
        <v>260</v>
      </c>
      <c r="AZ13" s="103" t="s">
        <v>431</v>
      </c>
      <c r="BA13" s="103" t="s">
        <v>316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424</v>
      </c>
      <c r="E14" s="38">
        <f>IF(LEFT(VLOOKUP($B14,'Indicator chart'!$D$1:$J$36,5,FALSE),1)=" "," ",VLOOKUP($B14,'Indicator chart'!$D$1:$J$36,5,FALSE))</f>
        <v>0.810707</v>
      </c>
      <c r="F14" s="38">
        <f>IF(LEFT(VLOOKUP($B14,'Indicator chart'!$D$1:$J$36,6,FALSE),1)=" "," ",VLOOKUP($B14,'Indicator chart'!$D$1:$J$36,6,FALSE))</f>
        <v>0.7749137749063103</v>
      </c>
      <c r="G14" s="38">
        <f>IF(LEFT(VLOOKUP($B14,'Indicator chart'!$D$1:$J$36,7,FALSE),1)=" "," ",VLOOKUP($B14,'Indicator chart'!$D$1:$J$36,7,FALSE))</f>
        <v>0.84196993359355</v>
      </c>
      <c r="H14" s="50">
        <f t="shared" si="0"/>
        <v>2</v>
      </c>
      <c r="I14" s="38">
        <v>0.6824280023574829</v>
      </c>
      <c r="J14" s="38">
        <v>0.7731122374534607</v>
      </c>
      <c r="K14" s="38">
        <v>0.7899370193481445</v>
      </c>
      <c r="L14" s="38">
        <v>0.8090207576751709</v>
      </c>
      <c r="M14" s="38">
        <v>0.8464620113372803</v>
      </c>
      <c r="N14" s="80">
        <f>VLOOKUP('Hide - Control'!B$3,'All practice data'!A:CA,A14+29,FALSE)</f>
        <v>0.7882457415031888</v>
      </c>
      <c r="O14" s="80">
        <f>VLOOKUP('Hide - Control'!C$3,'All practice data'!A:CA,A14+29,FALSE)</f>
        <v>0.7559681673907895</v>
      </c>
      <c r="P14" s="38">
        <f>VLOOKUP('Hide - Control'!$B$4,'All practice data'!B:BC,A14+2,FALSE)</f>
        <v>39056</v>
      </c>
      <c r="Q14" s="38">
        <f>VLOOKUP('Hide - Control'!$B$4,'All practice data'!B:BJ,59,FALSE)</f>
        <v>49548</v>
      </c>
      <c r="R14" s="38">
        <f t="shared" si="17"/>
        <v>0.7846260550602278</v>
      </c>
      <c r="S14" s="38">
        <f t="shared" si="18"/>
        <v>0.7918207343563739</v>
      </c>
      <c r="T14" s="53">
        <f t="shared" si="16"/>
        <v>0.8464620113372803</v>
      </c>
      <c r="U14" s="51">
        <f t="shared" si="1"/>
        <v>0.6824280023574829</v>
      </c>
      <c r="V14" s="7"/>
      <c r="W14" s="27">
        <f t="shared" si="2"/>
        <v>0.6824280023574829</v>
      </c>
      <c r="X14" s="27">
        <f t="shared" si="3"/>
        <v>0.8974460363388062</v>
      </c>
      <c r="Y14" s="27">
        <f t="shared" si="4"/>
        <v>0.6824280023574829</v>
      </c>
      <c r="Z14" s="27">
        <f t="shared" si="5"/>
        <v>0.8974460363388062</v>
      </c>
      <c r="AA14" s="32">
        <f t="shared" si="6"/>
        <v>0</v>
      </c>
      <c r="AB14" s="33">
        <f t="shared" si="7"/>
        <v>0.4217517638723026</v>
      </c>
      <c r="AC14" s="33">
        <v>0.5</v>
      </c>
      <c r="AD14" s="33">
        <f t="shared" si="8"/>
        <v>0.5887541290080068</v>
      </c>
      <c r="AE14" s="33">
        <f t="shared" si="9"/>
        <v>0.7628848889672463</v>
      </c>
      <c r="AF14" s="33">
        <f t="shared" si="10"/>
        <v>-999</v>
      </c>
      <c r="AG14" s="33">
        <f t="shared" si="11"/>
        <v>0.5965964587587083</v>
      </c>
      <c r="AH14" s="33">
        <f t="shared" si="12"/>
        <v>-999</v>
      </c>
      <c r="AI14" s="34">
        <f t="shared" si="13"/>
        <v>0.342018591053132</v>
      </c>
      <c r="AJ14" s="4">
        <v>10.234019270112368</v>
      </c>
      <c r="AK14" s="32">
        <f t="shared" si="14"/>
        <v>-999</v>
      </c>
      <c r="AL14" s="34">
        <f t="shared" si="15"/>
        <v>-999</v>
      </c>
      <c r="AY14" s="103" t="s">
        <v>53</v>
      </c>
      <c r="AZ14" s="103" t="s">
        <v>439</v>
      </c>
      <c r="BA14" s="103" t="s">
        <v>496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221</v>
      </c>
      <c r="E15" s="38">
        <f>IF(LEFT(VLOOKUP($B15,'Indicator chart'!$D$1:$J$36,5,FALSE),1)=" "," ",VLOOKUP($B15,'Indicator chart'!$D$1:$J$36,5,FALSE))</f>
        <v>0.600543</v>
      </c>
      <c r="F15" s="38">
        <f>IF(LEFT(VLOOKUP($B15,'Indicator chart'!$D$1:$J$36,6,FALSE),1)=" "," ",VLOOKUP($B15,'Indicator chart'!$D$1:$J$36,6,FALSE))</f>
        <v>0.549710555236511</v>
      </c>
      <c r="G15" s="38">
        <f>IF(LEFT(VLOOKUP($B15,'Indicator chart'!$D$1:$J$36,7,FALSE),1)=" "," ",VLOOKUP($B15,'Indicator chart'!$D$1:$J$36,7,FALSE))</f>
        <v>0.6492989154628406</v>
      </c>
      <c r="H15" s="50">
        <f t="shared" si="0"/>
        <v>2</v>
      </c>
      <c r="I15" s="38">
        <v>0.4489800035953522</v>
      </c>
      <c r="J15" s="38">
        <v>0.5451834797859192</v>
      </c>
      <c r="K15" s="38">
        <v>0.5766624808311462</v>
      </c>
      <c r="L15" s="38">
        <v>0.5955824851989746</v>
      </c>
      <c r="M15" s="38">
        <v>0.658070981502533</v>
      </c>
      <c r="N15" s="80">
        <f>VLOOKUP('Hide - Control'!B$3,'All practice data'!A:CA,A15+29,FALSE)</f>
        <v>0.5737026777469991</v>
      </c>
      <c r="O15" s="80">
        <f>VLOOKUP('Hide - Control'!C$3,'All practice data'!A:CA,A15+29,FALSE)</f>
        <v>0.5147293797466616</v>
      </c>
      <c r="P15" s="38">
        <f>VLOOKUP('Hide - Control'!$B$4,'All practice data'!B:BC,A15+2,FALSE)</f>
        <v>15533</v>
      </c>
      <c r="Q15" s="38">
        <f>VLOOKUP('Hide - Control'!$B$4,'All practice data'!B:BJ,60,FALSE)</f>
        <v>27075</v>
      </c>
      <c r="R15" s="38">
        <f t="shared" si="17"/>
        <v>0.567801866944887</v>
      </c>
      <c r="S15" s="38">
        <f t="shared" si="18"/>
        <v>0.5795825765609978</v>
      </c>
      <c r="T15" s="53">
        <f t="shared" si="16"/>
        <v>0.658070981502533</v>
      </c>
      <c r="U15" s="51">
        <f t="shared" si="1"/>
        <v>0.4489800035953522</v>
      </c>
      <c r="V15" s="7"/>
      <c r="W15" s="27">
        <f t="shared" si="2"/>
        <v>0.4489800035953522</v>
      </c>
      <c r="X15" s="27">
        <f t="shared" si="3"/>
        <v>0.7043449580669403</v>
      </c>
      <c r="Y15" s="27">
        <f t="shared" si="4"/>
        <v>0.4489800035953522</v>
      </c>
      <c r="Z15" s="27">
        <f t="shared" si="5"/>
        <v>0.7043449580669403</v>
      </c>
      <c r="AA15" s="32">
        <f t="shared" si="6"/>
        <v>0</v>
      </c>
      <c r="AB15" s="33">
        <f t="shared" si="7"/>
        <v>0.3767293612768255</v>
      </c>
      <c r="AC15" s="33">
        <v>0.5</v>
      </c>
      <c r="AD15" s="33">
        <f t="shared" si="8"/>
        <v>0.574090058312733</v>
      </c>
      <c r="AE15" s="33">
        <f t="shared" si="9"/>
        <v>0.8187927679420248</v>
      </c>
      <c r="AF15" s="33">
        <f t="shared" si="10"/>
        <v>-999</v>
      </c>
      <c r="AG15" s="33">
        <f t="shared" si="11"/>
        <v>0.5935152563055035</v>
      </c>
      <c r="AH15" s="33">
        <f t="shared" si="12"/>
        <v>-999</v>
      </c>
      <c r="AI15" s="34">
        <f t="shared" si="13"/>
        <v>0.257472198122725</v>
      </c>
      <c r="AJ15" s="4">
        <v>11.310014695494289</v>
      </c>
      <c r="AK15" s="32">
        <f t="shared" si="14"/>
        <v>-999</v>
      </c>
      <c r="AL15" s="34">
        <f t="shared" si="15"/>
        <v>-999</v>
      </c>
      <c r="AY15" s="103" t="s">
        <v>229</v>
      </c>
      <c r="AZ15" s="103" t="s">
        <v>230</v>
      </c>
      <c r="BA15" s="103" t="s">
        <v>316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108</v>
      </c>
      <c r="E16" s="38">
        <f>IF(LEFT(VLOOKUP($B16,'Indicator chart'!$D$1:$J$36,5,FALSE),1)=" "," ",VLOOKUP($B16,'Indicator chart'!$D$1:$J$36,5,FALSE))</f>
        <v>0.705882</v>
      </c>
      <c r="F16" s="38">
        <f>IF(LEFT(VLOOKUP($B16,'Indicator chart'!$D$1:$J$36,6,FALSE),1)=" "," ",VLOOKUP($B16,'Indicator chart'!$D$1:$J$36,6,FALSE))</f>
        <v>0.6293512126180159</v>
      </c>
      <c r="G16" s="38">
        <f>IF(LEFT(VLOOKUP($B16,'Indicator chart'!$D$1:$J$36,7,FALSE),1)=" "," ",VLOOKUP($B16,'Indicator chart'!$D$1:$J$36,7,FALSE))</f>
        <v>0.772327933730912</v>
      </c>
      <c r="H16" s="50">
        <f t="shared" si="0"/>
        <v>3</v>
      </c>
      <c r="I16" s="38">
        <v>0.415583997964859</v>
      </c>
      <c r="J16" s="38">
        <v>0.5736770033836365</v>
      </c>
      <c r="K16" s="38">
        <v>0.6267235279083252</v>
      </c>
      <c r="L16" s="38">
        <v>0.6455525159835815</v>
      </c>
      <c r="M16" s="38">
        <v>0.7058820128440857</v>
      </c>
      <c r="N16" s="80">
        <f>VLOOKUP('Hide - Control'!B$3,'All practice data'!A:CA,A16+29,FALSE)</f>
        <v>0.6174859048677837</v>
      </c>
      <c r="O16" s="80">
        <f>VLOOKUP('Hide - Control'!C$3,'All practice data'!A:CA,A16+29,FALSE)</f>
        <v>0.5752927626212945</v>
      </c>
      <c r="P16" s="38">
        <f>VLOOKUP('Hide - Control'!$B$4,'All practice data'!B:BC,A16+2,FALSE)</f>
        <v>7776</v>
      </c>
      <c r="Q16" s="38">
        <f>VLOOKUP('Hide - Control'!$B$4,'All practice data'!B:BJ,61,FALSE)</f>
        <v>12593</v>
      </c>
      <c r="R16" s="38">
        <f t="shared" si="17"/>
        <v>0.6089628382876192</v>
      </c>
      <c r="S16" s="38">
        <f t="shared" si="18"/>
        <v>0.6259373131916215</v>
      </c>
      <c r="T16" s="53">
        <f aca="true" t="shared" si="19" ref="T16:T31">IF($C16=1,M16,I16)</f>
        <v>0.7058820128440857</v>
      </c>
      <c r="U16" s="51">
        <f aca="true" t="shared" si="20" ref="U16:U31">IF($C16=1,I16,M16)</f>
        <v>0.415583997964859</v>
      </c>
      <c r="V16" s="7"/>
      <c r="W16" s="27">
        <f t="shared" si="2"/>
        <v>0.415583997964859</v>
      </c>
      <c r="X16" s="27">
        <f t="shared" si="3"/>
        <v>0.8378630578517914</v>
      </c>
      <c r="Y16" s="27">
        <f t="shared" si="4"/>
        <v>0.415583997964859</v>
      </c>
      <c r="Z16" s="27">
        <f t="shared" si="5"/>
        <v>0.8378630578517914</v>
      </c>
      <c r="AA16" s="32">
        <f t="shared" si="6"/>
        <v>0</v>
      </c>
      <c r="AB16" s="33">
        <f t="shared" si="7"/>
        <v>0.3743804048941185</v>
      </c>
      <c r="AC16" s="33">
        <v>0.5</v>
      </c>
      <c r="AD16" s="33">
        <f t="shared" si="8"/>
        <v>0.5445889693898104</v>
      </c>
      <c r="AE16" s="33">
        <f t="shared" si="9"/>
        <v>0.6874553878114525</v>
      </c>
      <c r="AF16" s="33">
        <f t="shared" si="10"/>
        <v>-999</v>
      </c>
      <c r="AG16" s="33">
        <f t="shared" si="11"/>
        <v>-999</v>
      </c>
      <c r="AH16" s="33">
        <f t="shared" si="12"/>
        <v>0.6874553573953441</v>
      </c>
      <c r="AI16" s="34">
        <f t="shared" si="13"/>
        <v>0.3782066880114737</v>
      </c>
      <c r="AJ16" s="4">
        <v>12.386010120876215</v>
      </c>
      <c r="AK16" s="32">
        <f t="shared" si="14"/>
        <v>-999</v>
      </c>
      <c r="AL16" s="34">
        <f t="shared" si="15"/>
        <v>0.6874553573953441</v>
      </c>
      <c r="AY16" s="103" t="s">
        <v>314</v>
      </c>
      <c r="AZ16" s="103" t="s">
        <v>335</v>
      </c>
      <c r="BA16" s="103" t="s">
        <v>496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29</v>
      </c>
      <c r="E17" s="38">
        <f>IF(LEFT(VLOOKUP($B17,'Indicator chart'!$D$1:$J$36,5,FALSE),1)=" "," ",VLOOKUP($B17,'Indicator chart'!$D$1:$J$36,5,FALSE))</f>
        <v>1356.4078578110384</v>
      </c>
      <c r="F17" s="38">
        <f>IF(LEFT(VLOOKUP($B17,'Indicator chart'!$D$1:$J$36,6,FALSE),1)=" "," ",VLOOKUP($B17,'Indicator chart'!$D$1:$J$36,6,FALSE))</f>
        <v>908.2126634830167</v>
      </c>
      <c r="G17" s="38">
        <f>IF(LEFT(VLOOKUP($B17,'Indicator chart'!$D$1:$J$36,7,FALSE),1)=" "," ",VLOOKUP($B17,'Indicator chart'!$D$1:$J$36,7,FALSE))</f>
        <v>1948.1100696722676</v>
      </c>
      <c r="H17" s="50">
        <f t="shared" si="0"/>
        <v>1</v>
      </c>
      <c r="I17" s="38">
        <v>1020.6448364257812</v>
      </c>
      <c r="J17" s="38">
        <v>1875.259033203125</v>
      </c>
      <c r="K17" s="38">
        <v>2196.361083984375</v>
      </c>
      <c r="L17" s="38">
        <v>3005.72509765625</v>
      </c>
      <c r="M17" s="38">
        <v>4216.77587890625</v>
      </c>
      <c r="N17" s="80">
        <f>VLOOKUP('Hide - Control'!B$3,'All practice data'!A:CA,A17+29,FALSE)</f>
        <v>2460.4041776176555</v>
      </c>
      <c r="O17" s="80">
        <f>VLOOKUP('Hide - Control'!C$3,'All practice data'!A:CA,A17+29,FALSE)</f>
        <v>1812.1669120472948</v>
      </c>
      <c r="P17" s="38">
        <f>VLOOKUP('Hide - Control'!$B$4,'All practice data'!B:BC,A17+2,FALSE)</f>
        <v>4999</v>
      </c>
      <c r="Q17" s="38">
        <f>VLOOKUP('Hide - Control'!$B$4,'All practice data'!B:BC,3,FALSE)</f>
        <v>203178</v>
      </c>
      <c r="R17" s="38">
        <f>100000*(P17*(1-1/(9*P17)-1.96/(3*SQRT(P17)))^3)/Q17</f>
        <v>2392.66570485863</v>
      </c>
      <c r="S17" s="38">
        <f>100000*((P17+1)*(1-1/(9*(P17+1))+1.96/(3*SQRT(P17+1)))^3)/Q17</f>
        <v>2529.5740150448273</v>
      </c>
      <c r="T17" s="53">
        <f t="shared" si="19"/>
        <v>4216.77587890625</v>
      </c>
      <c r="U17" s="51">
        <f t="shared" si="20"/>
        <v>1020.6448364257812</v>
      </c>
      <c r="V17" s="7"/>
      <c r="W17" s="27">
        <f t="shared" si="2"/>
        <v>175.9462890625</v>
      </c>
      <c r="X17" s="27">
        <f t="shared" si="3"/>
        <v>4216.77587890625</v>
      </c>
      <c r="Y17" s="27">
        <f t="shared" si="4"/>
        <v>175.9462890625</v>
      </c>
      <c r="Z17" s="27">
        <f t="shared" si="5"/>
        <v>4216.77587890625</v>
      </c>
      <c r="AA17" s="32">
        <f t="shared" si="6"/>
        <v>0.2090408735588238</v>
      </c>
      <c r="AB17" s="33">
        <f t="shared" si="7"/>
        <v>0.42053561189803446</v>
      </c>
      <c r="AC17" s="33">
        <v>0.5</v>
      </c>
      <c r="AD17" s="33">
        <f t="shared" si="8"/>
        <v>0.7002964974583774</v>
      </c>
      <c r="AE17" s="33">
        <f t="shared" si="9"/>
        <v>1</v>
      </c>
      <c r="AF17" s="33">
        <f t="shared" si="10"/>
        <v>-999</v>
      </c>
      <c r="AG17" s="33">
        <f t="shared" si="11"/>
        <v>-999</v>
      </c>
      <c r="AH17" s="33">
        <f t="shared" si="12"/>
        <v>0.29213346974975607</v>
      </c>
      <c r="AI17" s="34">
        <f t="shared" si="13"/>
        <v>0.4049219563965982</v>
      </c>
      <c r="AJ17" s="4">
        <v>13.462005546258133</v>
      </c>
      <c r="AK17" s="32">
        <f t="shared" si="14"/>
        <v>0.29213346974975607</v>
      </c>
      <c r="AL17" s="34">
        <f t="shared" si="15"/>
        <v>-999</v>
      </c>
      <c r="AY17" s="103" t="s">
        <v>103</v>
      </c>
      <c r="AZ17" s="103" t="s">
        <v>104</v>
      </c>
      <c r="BA17" s="103" t="s">
        <v>316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29</v>
      </c>
      <c r="E18" s="80">
        <f>IF(LEFT(VLOOKUP($B18,'Indicator chart'!$D$1:$J$36,5,FALSE),1)=" "," ",VLOOKUP($B18,'Indicator chart'!$D$1:$J$36,5,FALSE))</f>
        <v>0.5953153609999999</v>
      </c>
      <c r="F18" s="81">
        <f>IF(LEFT(VLOOKUP($B18,'Indicator chart'!$D$1:$J$36,6,FALSE),1)=" "," ",VLOOKUP($B18,'Indicator chart'!$D$1:$J$36,6,FALSE))</f>
        <v>0.39869201660000003</v>
      </c>
      <c r="G18" s="38">
        <f>IF(LEFT(VLOOKUP($B18,'Indicator chart'!$D$1:$J$36,7,FALSE),1)=" "," ",VLOOKUP($B18,'Indicator chart'!$D$1:$J$36,7,FALSE))</f>
        <v>0.8549721526999999</v>
      </c>
      <c r="H18" s="50">
        <f>IF(LEFT(F18,1)=" ",4,IF(AND(ABS(N18-E18)&gt;SQRT((E18-G18)^2+(N18-R18)^2),E18&lt;N18),1,IF(AND(ABS(N18-E18)&gt;SQRT((E18-F18)^2+(N18-S18)^2),E18&gt;N18),3,2)))</f>
        <v>1</v>
      </c>
      <c r="I18" s="38">
        <v>0.5953153371810913</v>
      </c>
      <c r="J18" s="38"/>
      <c r="K18" s="38">
        <v>1</v>
      </c>
      <c r="L18" s="38"/>
      <c r="M18" s="38">
        <v>1.9408835172653198</v>
      </c>
      <c r="N18" s="80">
        <v>1</v>
      </c>
      <c r="O18" s="80">
        <f>VLOOKUP('Hide - Control'!C$3,'All practice data'!A:CA,A18+29,FALSE)</f>
        <v>1</v>
      </c>
      <c r="P18" s="38">
        <f>VLOOKUP('Hide - Control'!$B$4,'All practice data'!B:BC,A18+2,FALSE)</f>
        <v>4999</v>
      </c>
      <c r="Q18" s="38">
        <f>VLOOKUP('Hide - Control'!$B$4,'All practice data'!B:BC,14,FALSE)</f>
        <v>4999</v>
      </c>
      <c r="R18" s="81">
        <v>1</v>
      </c>
      <c r="S18" s="38">
        <v>1</v>
      </c>
      <c r="T18" s="53">
        <f t="shared" si="19"/>
        <v>1.9408835172653198</v>
      </c>
      <c r="U18" s="51">
        <f t="shared" si="20"/>
        <v>0.5953153371810913</v>
      </c>
      <c r="V18" s="7"/>
      <c r="W18" s="27">
        <f>IF((K18-I18)&gt;(M18-K18),I18,(K18-(M18-K18)))</f>
        <v>0.059116482734680176</v>
      </c>
      <c r="X18" s="27">
        <f t="shared" si="3"/>
        <v>1.9408835172653198</v>
      </c>
      <c r="Y18" s="27">
        <f t="shared" si="4"/>
        <v>0.059116482734680176</v>
      </c>
      <c r="Z18" s="27">
        <f t="shared" si="5"/>
        <v>1.9408835172653198</v>
      </c>
      <c r="AA18" s="32" t="s">
        <v>316</v>
      </c>
      <c r="AB18" s="33" t="s">
        <v>316</v>
      </c>
      <c r="AC18" s="33">
        <v>0.5</v>
      </c>
      <c r="AD18" s="33" t="s">
        <v>316</v>
      </c>
      <c r="AE18" s="33" t="s">
        <v>316</v>
      </c>
      <c r="AF18" s="33">
        <f t="shared" si="10"/>
        <v>-999</v>
      </c>
      <c r="AG18" s="33">
        <f t="shared" si="11"/>
        <v>-999</v>
      </c>
      <c r="AH18" s="33">
        <f t="shared" si="12"/>
        <v>0.28494434668373353</v>
      </c>
      <c r="AI18" s="34">
        <v>0.5</v>
      </c>
      <c r="AJ18" s="4">
        <v>14.538000971640056</v>
      </c>
      <c r="AK18" s="32">
        <f t="shared" si="14"/>
        <v>0.28494434668373353</v>
      </c>
      <c r="AL18" s="34">
        <f t="shared" si="15"/>
        <v>-999</v>
      </c>
      <c r="AY18" s="103" t="s">
        <v>105</v>
      </c>
      <c r="AZ18" s="103" t="s">
        <v>106</v>
      </c>
      <c r="BA18" s="103" t="s">
        <v>316</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0.10265836864709854</v>
      </c>
      <c r="K19" s="38">
        <v>0.11596638709306717</v>
      </c>
      <c r="L19" s="38">
        <v>0.14941830933094025</v>
      </c>
      <c r="M19" s="38">
        <v>0.20454545319080353</v>
      </c>
      <c r="N19" s="80">
        <f>VLOOKUP('Hide - Control'!B$3,'All practice data'!A:CA,A19+29,FALSE)</f>
        <v>0.11802360472094418</v>
      </c>
      <c r="O19" s="80">
        <f>VLOOKUP('Hide - Control'!C$3,'All practice data'!A:CA,A19+29,FALSE)</f>
        <v>0.10919341638628717</v>
      </c>
      <c r="P19" s="38">
        <f>VLOOKUP('Hide - Control'!$B$4,'All practice data'!B:BC,A19+2,FALSE)</f>
        <v>590</v>
      </c>
      <c r="Q19" s="38">
        <f>VLOOKUP('Hide - Control'!$B$4,'All practice data'!B:BC,15,FALSE)</f>
        <v>4999</v>
      </c>
      <c r="R19" s="38">
        <f>+((2*P19+1.96^2-1.96*SQRT(1.96^2+4*P19*(1-P19/Q19)))/(2*(Q19+1.96^2)))</f>
        <v>0.10937163258172374</v>
      </c>
      <c r="S19" s="38">
        <f>+((2*P19+1.96^2+1.96*SQRT(1.96^2+4*P19*(1-P19/Q19)))/(2*(Q19+1.96^2)))</f>
        <v>0.12726220367645402</v>
      </c>
      <c r="T19" s="53">
        <f t="shared" si="19"/>
        <v>0.20454545319080353</v>
      </c>
      <c r="U19" s="51">
        <f t="shared" si="20"/>
        <v>0.02070442959666252</v>
      </c>
      <c r="V19" s="7"/>
      <c r="W19" s="27">
        <f t="shared" si="2"/>
        <v>0.02070442959666252</v>
      </c>
      <c r="X19" s="27">
        <f t="shared" si="3"/>
        <v>0.21122834458947182</v>
      </c>
      <c r="Y19" s="27">
        <f t="shared" si="4"/>
        <v>0.02070442959666252</v>
      </c>
      <c r="Z19" s="27">
        <f t="shared" si="5"/>
        <v>0.21122834458947182</v>
      </c>
      <c r="AA19" s="32">
        <f t="shared" si="6"/>
        <v>0</v>
      </c>
      <c r="AB19" s="33">
        <f t="shared" si="7"/>
        <v>0.4301504042341829</v>
      </c>
      <c r="AC19" s="33">
        <v>0.5</v>
      </c>
      <c r="AD19" s="33">
        <f t="shared" si="8"/>
        <v>0.6755785998788426</v>
      </c>
      <c r="AE19" s="33">
        <f t="shared" si="9"/>
        <v>0.9649236086770497</v>
      </c>
      <c r="AF19" s="33">
        <f t="shared" si="10"/>
        <v>-999</v>
      </c>
      <c r="AG19" s="33">
        <f t="shared" si="11"/>
        <v>-999</v>
      </c>
      <c r="AH19" s="33">
        <f t="shared" si="12"/>
        <v>-999</v>
      </c>
      <c r="AI19" s="34">
        <f t="shared" si="13"/>
        <v>0.46445081077073386</v>
      </c>
      <c r="AJ19" s="4">
        <v>15.61399639702198</v>
      </c>
      <c r="AK19" s="32">
        <f t="shared" si="14"/>
        <v>-999</v>
      </c>
      <c r="AL19" s="34">
        <f t="shared" si="15"/>
        <v>-999</v>
      </c>
      <c r="AY19" s="103" t="s">
        <v>270</v>
      </c>
      <c r="AZ19" s="103" t="s">
        <v>435</v>
      </c>
      <c r="BA19" s="103" t="s">
        <v>316</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0.47456279397010803</v>
      </c>
      <c r="K20" s="38">
        <v>0.5419580340385437</v>
      </c>
      <c r="L20" s="38">
        <v>0.5981481671333313</v>
      </c>
      <c r="M20" s="38">
        <v>0.8999999761581421</v>
      </c>
      <c r="N20" s="80">
        <f>VLOOKUP('Hide - Control'!B$3,'All practice data'!A:CA,A20+29,FALSE)</f>
        <v>0.5397987191216834</v>
      </c>
      <c r="O20" s="80">
        <f>VLOOKUP('Hide - Control'!C$3,'All practice data'!A:CA,A20+29,FALSE)</f>
        <v>0.4534552930810221</v>
      </c>
      <c r="P20" s="38">
        <f>VLOOKUP('Hide - Control'!$B$4,'All practice data'!B:BC,A20+1,FALSE)</f>
        <v>590</v>
      </c>
      <c r="Q20" s="38">
        <f>VLOOKUP('Hide - Control'!$B$4,'All practice data'!B:BC,A20+2,FALSE)</f>
        <v>1093</v>
      </c>
      <c r="R20" s="38">
        <f>+((2*P20+1.96^2-1.96*SQRT(1.96^2+4*P20*(1-P20/Q20)))/(2*(Q20+1.96^2)))</f>
        <v>0.5101622626293293</v>
      </c>
      <c r="S20" s="38">
        <f>+((2*P20+1.96^2+1.96*SQRT(1.96^2+4*P20*(1-P20/Q20)))/(2*(Q20+1.96^2)))</f>
        <v>0.569156391951241</v>
      </c>
      <c r="T20" s="53">
        <f t="shared" si="19"/>
        <v>0.8999999761581421</v>
      </c>
      <c r="U20" s="51">
        <f t="shared" si="20"/>
        <v>0.09238772839307785</v>
      </c>
      <c r="V20" s="7"/>
      <c r="W20" s="27">
        <f t="shared" si="2"/>
        <v>0.09238772839307785</v>
      </c>
      <c r="X20" s="27">
        <f t="shared" si="3"/>
        <v>0.9915283396840096</v>
      </c>
      <c r="Y20" s="27">
        <f t="shared" si="4"/>
        <v>0.09238772839307785</v>
      </c>
      <c r="Z20" s="27">
        <f t="shared" si="5"/>
        <v>0.9915283396840096</v>
      </c>
      <c r="AA20" s="32">
        <f t="shared" si="6"/>
        <v>0</v>
      </c>
      <c r="AB20" s="33">
        <f t="shared" si="7"/>
        <v>0.4250448270024489</v>
      </c>
      <c r="AC20" s="33">
        <v>0.5</v>
      </c>
      <c r="AD20" s="33">
        <f t="shared" si="8"/>
        <v>0.5624931544512412</v>
      </c>
      <c r="AE20" s="33">
        <f t="shared" si="9"/>
        <v>0.8982046163008292</v>
      </c>
      <c r="AF20" s="33">
        <f t="shared" si="10"/>
        <v>-999</v>
      </c>
      <c r="AG20" s="33">
        <f t="shared" si="11"/>
        <v>-999</v>
      </c>
      <c r="AH20" s="33">
        <f t="shared" si="12"/>
        <v>-999</v>
      </c>
      <c r="AI20" s="34">
        <f t="shared" si="13"/>
        <v>0.401569632328747</v>
      </c>
      <c r="AJ20" s="4">
        <v>16.689991822403904</v>
      </c>
      <c r="AK20" s="32">
        <f t="shared" si="14"/>
        <v>-999</v>
      </c>
      <c r="AL20" s="34">
        <f t="shared" si="15"/>
        <v>-999</v>
      </c>
      <c r="AY20" s="103" t="s">
        <v>211</v>
      </c>
      <c r="AZ20" s="103" t="s">
        <v>416</v>
      </c>
      <c r="BA20" s="103" t="s">
        <v>316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8</v>
      </c>
      <c r="E21" s="38">
        <f>IF(LEFT(VLOOKUP($B21,'Indicator chart'!$D$1:$J$36,5,FALSE),1)=" "," ",VLOOKUP($B21,'Indicator chart'!$D$1:$J$36,5,FALSE))</f>
        <v>374.1814780168382</v>
      </c>
      <c r="F21" s="38">
        <f>IF(LEFT(VLOOKUP($B21,'Indicator chart'!$D$1:$J$36,6,FALSE),1)=" "," ",VLOOKUP($B21,'Indicator chart'!$D$1:$J$36,6,FALSE))</f>
        <v>161.11471298689028</v>
      </c>
      <c r="G21" s="38">
        <f>IF(LEFT(VLOOKUP($B21,'Indicator chart'!$D$1:$J$36,7,FALSE),1)=" "," ",VLOOKUP($B21,'Indicator chart'!$D$1:$J$36,7,FALSE))</f>
        <v>737.331968754969</v>
      </c>
      <c r="H21" s="50">
        <f t="shared" si="0"/>
        <v>2</v>
      </c>
      <c r="I21" s="38">
        <v>61.46357345581055</v>
      </c>
      <c r="J21" s="38">
        <v>273.80194091796875</v>
      </c>
      <c r="K21" s="38">
        <v>349.14593505859375</v>
      </c>
      <c r="L21" s="38">
        <v>389.6167297363281</v>
      </c>
      <c r="M21" s="38">
        <v>629.9212646484375</v>
      </c>
      <c r="N21" s="80">
        <f>VLOOKUP('Hide - Control'!B$3,'All practice data'!A:CA,A21+29,FALSE)</f>
        <v>352.4003583065096</v>
      </c>
      <c r="O21" s="80">
        <f>VLOOKUP('Hide - Control'!C$3,'All practice data'!A:CA,A21+29,FALSE)</f>
        <v>377.7293140102421</v>
      </c>
      <c r="P21" s="38">
        <f>VLOOKUP('Hide - Control'!$B$4,'All practice data'!B:BC,A21+2,FALSE)</f>
        <v>716</v>
      </c>
      <c r="Q21" s="38">
        <f>VLOOKUP('Hide - Control'!$B$4,'All practice data'!B:BC,3,FALSE)</f>
        <v>203178</v>
      </c>
      <c r="R21" s="38">
        <f aca="true" t="shared" si="21" ref="R21:R27">100000*(P21*(1-1/(9*P21)-1.96/(3*SQRT(P21)))^3)/Q21</f>
        <v>327.0565128641542</v>
      </c>
      <c r="S21" s="38">
        <f aca="true" t="shared" si="22" ref="S21:S27">100000*((P21+1)*(1-1/(9*(P21+1))+1.96/(3*SQRT(P21+1)))^3)/Q21</f>
        <v>379.1866442904418</v>
      </c>
      <c r="T21" s="53">
        <f t="shared" si="19"/>
        <v>629.9212646484375</v>
      </c>
      <c r="U21" s="51">
        <f t="shared" si="20"/>
        <v>61.46357345581055</v>
      </c>
      <c r="V21" s="7"/>
      <c r="W21" s="27">
        <f t="shared" si="2"/>
        <v>61.46357345581055</v>
      </c>
      <c r="X21" s="27">
        <f t="shared" si="3"/>
        <v>636.828296661377</v>
      </c>
      <c r="Y21" s="27">
        <f t="shared" si="4"/>
        <v>61.46357345581055</v>
      </c>
      <c r="Z21" s="27">
        <f t="shared" si="5"/>
        <v>636.828296661377</v>
      </c>
      <c r="AA21" s="32">
        <f t="shared" si="6"/>
        <v>0</v>
      </c>
      <c r="AB21" s="33">
        <f t="shared" si="7"/>
        <v>0.36905002843960233</v>
      </c>
      <c r="AC21" s="33">
        <v>0.5</v>
      </c>
      <c r="AD21" s="33">
        <f t="shared" si="8"/>
        <v>0.5703393743923973</v>
      </c>
      <c r="AE21" s="33">
        <f t="shared" si="9"/>
        <v>0.9879953849543333</v>
      </c>
      <c r="AF21" s="33">
        <f t="shared" si="10"/>
        <v>-999</v>
      </c>
      <c r="AG21" s="33">
        <f t="shared" si="11"/>
        <v>0.5435124746938991</v>
      </c>
      <c r="AH21" s="33">
        <f t="shared" si="12"/>
        <v>-999</v>
      </c>
      <c r="AI21" s="34">
        <f t="shared" si="13"/>
        <v>0.549678712995124</v>
      </c>
      <c r="AJ21" s="4">
        <v>17.765987247785823</v>
      </c>
      <c r="AK21" s="32">
        <f t="shared" si="14"/>
        <v>-999</v>
      </c>
      <c r="AL21" s="34">
        <f t="shared" si="15"/>
        <v>-999</v>
      </c>
      <c r="AY21" s="103" t="s">
        <v>123</v>
      </c>
      <c r="AZ21" s="103" t="s">
        <v>390</v>
      </c>
      <c r="BA21" s="103" t="s">
        <v>316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7</v>
      </c>
      <c r="E22" s="38">
        <f>IF(LEFT(VLOOKUP($B22,'Indicator chart'!$D$1:$J$36,5,FALSE),1)=" "," ",VLOOKUP($B22,'Indicator chart'!$D$1:$J$36,5,FALSE))</f>
        <v>327.4087932647334</v>
      </c>
      <c r="F22" s="38">
        <f>IF(LEFT(VLOOKUP($B22,'Indicator chart'!$D$1:$J$36,6,FALSE),1)=" "," ",VLOOKUP($B22,'Indicator chart'!$D$1:$J$36,6,FALSE))</f>
        <v>131.16833024220853</v>
      </c>
      <c r="G22" s="38">
        <f>IF(LEFT(VLOOKUP($B22,'Indicator chart'!$D$1:$J$36,7,FALSE),1)=" "," ",VLOOKUP($B22,'Indicator chart'!$D$1:$J$36,7,FALSE))</f>
        <v>674.6217707337773</v>
      </c>
      <c r="H22" s="50">
        <f t="shared" si="0"/>
        <v>2</v>
      </c>
      <c r="I22" s="38">
        <v>18.07059669494629</v>
      </c>
      <c r="J22" s="38">
        <v>336.42218017578125</v>
      </c>
      <c r="K22" s="38">
        <v>399.0985107421875</v>
      </c>
      <c r="L22" s="38">
        <v>501.665283203125</v>
      </c>
      <c r="M22" s="38">
        <v>915.9906005859375</v>
      </c>
      <c r="N22" s="80">
        <f>VLOOKUP('Hide - Control'!B$3,'All practice data'!A:CA,A22+29,FALSE)</f>
        <v>431.64122099833645</v>
      </c>
      <c r="O22" s="80">
        <f>VLOOKUP('Hide - Control'!C$3,'All practice data'!A:CA,A22+29,FALSE)</f>
        <v>282.45290788403287</v>
      </c>
      <c r="P22" s="38">
        <f>VLOOKUP('Hide - Control'!$B$4,'All practice data'!B:BC,A22+2,FALSE)</f>
        <v>877</v>
      </c>
      <c r="Q22" s="38">
        <f>VLOOKUP('Hide - Control'!$B$4,'All practice data'!B:BC,3,FALSE)</f>
        <v>203178</v>
      </c>
      <c r="R22" s="38">
        <f t="shared" si="21"/>
        <v>403.5420004877265</v>
      </c>
      <c r="S22" s="38">
        <f t="shared" si="22"/>
        <v>461.1811712906756</v>
      </c>
      <c r="T22" s="53">
        <f t="shared" si="19"/>
        <v>915.9906005859375</v>
      </c>
      <c r="U22" s="51">
        <f t="shared" si="20"/>
        <v>18.07059669494629</v>
      </c>
      <c r="V22" s="7"/>
      <c r="W22" s="27">
        <f t="shared" si="2"/>
        <v>-117.7935791015625</v>
      </c>
      <c r="X22" s="27">
        <f t="shared" si="3"/>
        <v>915.9906005859375</v>
      </c>
      <c r="Y22" s="27">
        <f t="shared" si="4"/>
        <v>-117.7935791015625</v>
      </c>
      <c r="Z22" s="27">
        <f t="shared" si="5"/>
        <v>915.9906005859375</v>
      </c>
      <c r="AA22" s="32">
        <f t="shared" si="6"/>
        <v>0.13142411972059664</v>
      </c>
      <c r="AB22" s="33">
        <f t="shared" si="7"/>
        <v>0.4393719387490022</v>
      </c>
      <c r="AC22" s="33">
        <v>0.5</v>
      </c>
      <c r="AD22" s="33">
        <f t="shared" si="8"/>
        <v>0.5992148791558622</v>
      </c>
      <c r="AE22" s="33">
        <f t="shared" si="9"/>
        <v>1</v>
      </c>
      <c r="AF22" s="33">
        <f t="shared" si="10"/>
        <v>-999</v>
      </c>
      <c r="AG22" s="33">
        <f t="shared" si="11"/>
        <v>0.4306531103047785</v>
      </c>
      <c r="AH22" s="33">
        <f t="shared" si="12"/>
        <v>-999</v>
      </c>
      <c r="AI22" s="34">
        <f t="shared" si="13"/>
        <v>0.387166388159069</v>
      </c>
      <c r="AJ22" s="4">
        <v>18.841982673167745</v>
      </c>
      <c r="AK22" s="32">
        <f t="shared" si="14"/>
        <v>-999</v>
      </c>
      <c r="AL22" s="34">
        <f t="shared" si="15"/>
        <v>-999</v>
      </c>
      <c r="AY22" s="103" t="s">
        <v>149</v>
      </c>
      <c r="AZ22" s="103" t="s">
        <v>400</v>
      </c>
      <c r="BA22" s="103" t="s">
        <v>316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53.357078552246094</v>
      </c>
      <c r="K23" s="38">
        <v>78.49777221679688</v>
      </c>
      <c r="L23" s="38">
        <v>120.26373291015625</v>
      </c>
      <c r="M23" s="38">
        <v>209.26339721679688</v>
      </c>
      <c r="N23" s="80">
        <f>VLOOKUP('Hide - Control'!B$3,'All practice data'!A:CA,A23+29,FALSE)</f>
        <v>93.02188229040546</v>
      </c>
      <c r="O23" s="80">
        <f>VLOOKUP('Hide - Control'!C$3,'All practice data'!A:CA,A23+29,FALSE)</f>
        <v>70.46674929228394</v>
      </c>
      <c r="P23" s="38">
        <f>VLOOKUP('Hide - Control'!$B$4,'All practice data'!B:BC,A23+2,FALSE)</f>
        <v>189</v>
      </c>
      <c r="Q23" s="38">
        <f>VLOOKUP('Hide - Control'!$B$4,'All practice data'!B:BC,3,FALSE)</f>
        <v>203178</v>
      </c>
      <c r="R23" s="38">
        <f t="shared" si="21"/>
        <v>80.2313664800235</v>
      </c>
      <c r="S23" s="38">
        <f t="shared" si="22"/>
        <v>107.27146826722088</v>
      </c>
      <c r="T23" s="53">
        <f t="shared" si="19"/>
        <v>209.26339721679688</v>
      </c>
      <c r="U23" s="51">
        <f t="shared" si="20"/>
        <v>3.248678207397461</v>
      </c>
      <c r="V23" s="7"/>
      <c r="W23" s="27">
        <f t="shared" si="2"/>
        <v>-52.267852783203125</v>
      </c>
      <c r="X23" s="27">
        <f t="shared" si="3"/>
        <v>209.26339721679688</v>
      </c>
      <c r="Y23" s="27">
        <f t="shared" si="4"/>
        <v>-52.267852783203125</v>
      </c>
      <c r="Z23" s="27">
        <f t="shared" si="5"/>
        <v>209.26339721679688</v>
      </c>
      <c r="AA23" s="32">
        <f t="shared" si="6"/>
        <v>0.21227494225107166</v>
      </c>
      <c r="AB23" s="33">
        <f t="shared" si="7"/>
        <v>0.40387116773023957</v>
      </c>
      <c r="AC23" s="33">
        <v>0.5</v>
      </c>
      <c r="AD23" s="33">
        <f t="shared" si="8"/>
        <v>0.6596977825531725</v>
      </c>
      <c r="AE23" s="33">
        <f t="shared" si="9"/>
        <v>1</v>
      </c>
      <c r="AF23" s="33">
        <f t="shared" si="10"/>
        <v>-999</v>
      </c>
      <c r="AG23" s="33">
        <f t="shared" si="11"/>
        <v>-999</v>
      </c>
      <c r="AH23" s="33">
        <f t="shared" si="12"/>
        <v>-999</v>
      </c>
      <c r="AI23" s="34">
        <f t="shared" si="13"/>
        <v>0.4692923009219245</v>
      </c>
      <c r="AJ23" s="4">
        <v>19.917978098549675</v>
      </c>
      <c r="AK23" s="32">
        <f t="shared" si="14"/>
        <v>-999</v>
      </c>
      <c r="AL23" s="34">
        <f t="shared" si="15"/>
        <v>-999</v>
      </c>
      <c r="AY23" s="103" t="s">
        <v>264</v>
      </c>
      <c r="AZ23" s="103" t="s">
        <v>265</v>
      </c>
      <c r="BA23" s="103" t="s">
        <v>316</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223.6560516357422</v>
      </c>
      <c r="K24" s="38">
        <v>392.19873046875</v>
      </c>
      <c r="L24" s="38">
        <v>565.7342529296875</v>
      </c>
      <c r="M24" s="38">
        <v>1035.1651611328125</v>
      </c>
      <c r="N24" s="80">
        <f>VLOOKUP('Hide - Control'!B$3,'All practice data'!A:CA,A24+29,FALSE)</f>
        <v>420.8132770280247</v>
      </c>
      <c r="O24" s="80">
        <f>VLOOKUP('Hide - Control'!C$3,'All practice data'!A:CA,A24+29,FALSE)</f>
        <v>323.23046266988894</v>
      </c>
      <c r="P24" s="38">
        <f>VLOOKUP('Hide - Control'!$B$4,'All practice data'!B:BC,A24+2,FALSE)</f>
        <v>855</v>
      </c>
      <c r="Q24" s="38">
        <f>VLOOKUP('Hide - Control'!$B$4,'All practice data'!B:BC,3,FALSE)</f>
        <v>203178</v>
      </c>
      <c r="R24" s="38">
        <f t="shared" si="21"/>
        <v>393.07468508623924</v>
      </c>
      <c r="S24" s="38">
        <f t="shared" si="22"/>
        <v>449.9928038063347</v>
      </c>
      <c r="T24" s="53">
        <f t="shared" si="19"/>
        <v>1035.1651611328125</v>
      </c>
      <c r="U24" s="51">
        <f t="shared" si="20"/>
        <v>27.3076171875</v>
      </c>
      <c r="V24" s="7"/>
      <c r="W24" s="27">
        <f t="shared" si="2"/>
        <v>-250.7677001953125</v>
      </c>
      <c r="X24" s="27">
        <f t="shared" si="3"/>
        <v>1035.1651611328125</v>
      </c>
      <c r="Y24" s="27">
        <f t="shared" si="4"/>
        <v>-250.7677001953125</v>
      </c>
      <c r="Z24" s="27">
        <f t="shared" si="5"/>
        <v>1035.1651611328125</v>
      </c>
      <c r="AA24" s="32">
        <f t="shared" si="6"/>
        <v>0.21624404021809768</v>
      </c>
      <c r="AB24" s="33">
        <f t="shared" si="7"/>
        <v>0.36893353152283925</v>
      </c>
      <c r="AC24" s="33">
        <v>0.5</v>
      </c>
      <c r="AD24" s="33">
        <f t="shared" si="8"/>
        <v>0.6349491312335763</v>
      </c>
      <c r="AE24" s="33">
        <f t="shared" si="9"/>
        <v>1</v>
      </c>
      <c r="AF24" s="33">
        <f t="shared" si="10"/>
        <v>-999</v>
      </c>
      <c r="AG24" s="33">
        <f t="shared" si="11"/>
        <v>-999</v>
      </c>
      <c r="AH24" s="33">
        <f t="shared" si="12"/>
        <v>-999</v>
      </c>
      <c r="AI24" s="34">
        <f t="shared" si="13"/>
        <v>0.446367131696417</v>
      </c>
      <c r="AJ24" s="4">
        <v>20.99397352393159</v>
      </c>
      <c r="AK24" s="32">
        <f t="shared" si="14"/>
        <v>-999</v>
      </c>
      <c r="AL24" s="34">
        <f t="shared" si="15"/>
        <v>-999</v>
      </c>
      <c r="AY24" s="103" t="s">
        <v>65</v>
      </c>
      <c r="AZ24" s="103" t="s">
        <v>66</v>
      </c>
      <c r="BA24" s="103" t="s">
        <v>496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15</v>
      </c>
      <c r="E25" s="38">
        <f>IF(LEFT(VLOOKUP($B25,'Indicator chart'!$D$1:$J$36,5,FALSE),1)=" "," ",VLOOKUP($B25,'Indicator chart'!$D$1:$J$36,5,FALSE))</f>
        <v>701.5902712815715</v>
      </c>
      <c r="F25" s="38">
        <f>IF(LEFT(VLOOKUP($B25,'Indicator chart'!$D$1:$J$36,6,FALSE),1)=" "," ",VLOOKUP($B25,'Indicator chart'!$D$1:$J$36,6,FALSE))</f>
        <v>392.3839722507685</v>
      </c>
      <c r="G25" s="38">
        <f>IF(LEFT(VLOOKUP($B25,'Indicator chart'!$D$1:$J$36,7,FALSE),1)=" "," ",VLOOKUP($B25,'Indicator chart'!$D$1:$J$36,7,FALSE))</f>
        <v>1157.2415335505796</v>
      </c>
      <c r="H25" s="50">
        <f t="shared" si="0"/>
        <v>2</v>
      </c>
      <c r="I25" s="38">
        <v>185.5142822265625</v>
      </c>
      <c r="J25" s="38">
        <v>415.424560546875</v>
      </c>
      <c r="K25" s="38">
        <v>510.0005798339844</v>
      </c>
      <c r="L25" s="38">
        <v>607.2129516601562</v>
      </c>
      <c r="M25" s="38">
        <v>1125.35986328125</v>
      </c>
      <c r="N25" s="80">
        <f>VLOOKUP('Hide - Control'!B$3,'All practice data'!A:CA,A25+29,FALSE)</f>
        <v>534.5066887162981</v>
      </c>
      <c r="O25" s="80">
        <f>VLOOKUP('Hide - Control'!C$3,'All practice data'!A:CA,A25+29,FALSE)</f>
        <v>562.6134400960308</v>
      </c>
      <c r="P25" s="38">
        <f>VLOOKUP('Hide - Control'!$B$4,'All practice data'!B:BC,A25+2,FALSE)</f>
        <v>1086</v>
      </c>
      <c r="Q25" s="38">
        <f>VLOOKUP('Hide - Control'!$B$4,'All practice data'!B:BC,3,FALSE)</f>
        <v>203178</v>
      </c>
      <c r="R25" s="38">
        <f t="shared" si="21"/>
        <v>503.184896648585</v>
      </c>
      <c r="S25" s="38">
        <f t="shared" si="22"/>
        <v>567.2675832310196</v>
      </c>
      <c r="T25" s="53">
        <f t="shared" si="19"/>
        <v>1125.35986328125</v>
      </c>
      <c r="U25" s="51">
        <f t="shared" si="20"/>
        <v>185.5142822265625</v>
      </c>
      <c r="V25" s="7"/>
      <c r="W25" s="27">
        <f t="shared" si="2"/>
        <v>-105.35870361328125</v>
      </c>
      <c r="X25" s="27">
        <f t="shared" si="3"/>
        <v>1125.35986328125</v>
      </c>
      <c r="Y25" s="27">
        <f t="shared" si="4"/>
        <v>-105.35870361328125</v>
      </c>
      <c r="Z25" s="27">
        <f t="shared" si="5"/>
        <v>1125.35986328125</v>
      </c>
      <c r="AA25" s="32">
        <f t="shared" si="6"/>
        <v>0.23634402995463272</v>
      </c>
      <c r="AB25" s="33">
        <f t="shared" si="7"/>
        <v>0.42315382100251175</v>
      </c>
      <c r="AC25" s="33">
        <v>0.5</v>
      </c>
      <c r="AD25" s="33">
        <f t="shared" si="8"/>
        <v>0.5789883036147473</v>
      </c>
      <c r="AE25" s="33">
        <f t="shared" si="9"/>
        <v>1</v>
      </c>
      <c r="AF25" s="33">
        <f t="shared" si="10"/>
        <v>-999</v>
      </c>
      <c r="AG25" s="33">
        <f t="shared" si="11"/>
        <v>0.6556730324878619</v>
      </c>
      <c r="AH25" s="33">
        <f t="shared" si="12"/>
        <v>-999</v>
      </c>
      <c r="AI25" s="34">
        <f t="shared" si="13"/>
        <v>0.5427497087289455</v>
      </c>
      <c r="AJ25" s="4">
        <v>22.06996894931352</v>
      </c>
      <c r="AK25" s="32">
        <f t="shared" si="14"/>
        <v>-999</v>
      </c>
      <c r="AL25" s="34">
        <f t="shared" si="15"/>
        <v>-999</v>
      </c>
      <c r="AY25" s="103" t="s">
        <v>257</v>
      </c>
      <c r="AZ25" s="103" t="s">
        <v>258</v>
      </c>
      <c r="BA25" s="103" t="s">
        <v>496</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112.1823501586914</v>
      </c>
      <c r="J26" s="38">
        <v>197.6141815185547</v>
      </c>
      <c r="K26" s="38">
        <v>314.8731384277344</v>
      </c>
      <c r="L26" s="38">
        <v>427.07415771484375</v>
      </c>
      <c r="M26" s="38">
        <v>547.5701293945312</v>
      </c>
      <c r="N26" s="80">
        <f>VLOOKUP('Hide - Control'!B$3,'All practice data'!A:CA,A26+29,FALSE)</f>
        <v>320.9008849383299</v>
      </c>
      <c r="O26" s="80">
        <f>VLOOKUP('Hide - Control'!C$3,'All practice data'!A:CA,A26+29,FALSE)</f>
        <v>405.57105879375996</v>
      </c>
      <c r="P26" s="38">
        <f>VLOOKUP('Hide - Control'!$B$4,'All practice data'!B:BC,A26+2,FALSE)</f>
        <v>652</v>
      </c>
      <c r="Q26" s="38">
        <f>VLOOKUP('Hide - Control'!$B$4,'All practice data'!B:BC,3,FALSE)</f>
        <v>203178</v>
      </c>
      <c r="R26" s="38">
        <f t="shared" si="21"/>
        <v>296.7378178869021</v>
      </c>
      <c r="S26" s="38">
        <f t="shared" si="22"/>
        <v>346.5072416958926</v>
      </c>
      <c r="T26" s="53">
        <f t="shared" si="19"/>
        <v>547.5701293945312</v>
      </c>
      <c r="U26" s="51">
        <f t="shared" si="20"/>
        <v>112.1823501586914</v>
      </c>
      <c r="V26" s="7"/>
      <c r="W26" s="27">
        <f t="shared" si="2"/>
        <v>82.1761474609375</v>
      </c>
      <c r="X26" s="27">
        <f t="shared" si="3"/>
        <v>547.5701293945312</v>
      </c>
      <c r="Y26" s="27">
        <f t="shared" si="4"/>
        <v>82.1761474609375</v>
      </c>
      <c r="Z26" s="27">
        <f t="shared" si="5"/>
        <v>547.5701293945312</v>
      </c>
      <c r="AA26" s="32">
        <f t="shared" si="6"/>
        <v>0.06447484037736319</v>
      </c>
      <c r="AB26" s="33">
        <f t="shared" si="7"/>
        <v>0.24804367597965382</v>
      </c>
      <c r="AC26" s="33">
        <v>0.5</v>
      </c>
      <c r="AD26" s="33">
        <f t="shared" si="8"/>
        <v>0.741088247039514</v>
      </c>
      <c r="AE26" s="33">
        <f t="shared" si="9"/>
        <v>1</v>
      </c>
      <c r="AF26" s="33">
        <f t="shared" si="10"/>
        <v>-999</v>
      </c>
      <c r="AG26" s="33">
        <f t="shared" si="11"/>
        <v>-999</v>
      </c>
      <c r="AH26" s="33">
        <f t="shared" si="12"/>
        <v>-999</v>
      </c>
      <c r="AI26" s="34">
        <f t="shared" si="13"/>
        <v>0.6948841710182817</v>
      </c>
      <c r="AJ26" s="4">
        <v>23.145964374695435</v>
      </c>
      <c r="AK26" s="32">
        <f t="shared" si="14"/>
        <v>-999</v>
      </c>
      <c r="AL26" s="34">
        <f t="shared" si="15"/>
        <v>-999</v>
      </c>
      <c r="AY26" s="103" t="s">
        <v>120</v>
      </c>
      <c r="AZ26" s="103" t="s">
        <v>389</v>
      </c>
      <c r="BA26" s="103" t="s">
        <v>316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v>
      </c>
      <c r="E27" s="38">
        <f>IF(LEFT(VLOOKUP($B27,'Indicator chart'!$D$1:$J$36,5,FALSE),1)=" "," ",VLOOKUP($B27,'Indicator chart'!$D$1:$J$36,5,FALSE))</f>
        <v>748.3629560336764</v>
      </c>
      <c r="F27" s="38">
        <f>IF(LEFT(VLOOKUP($B27,'Indicator chart'!$D$1:$J$36,6,FALSE),1)=" "," ",VLOOKUP($B27,'Indicator chart'!$D$1:$J$36,6,FALSE))</f>
        <v>427.4747306079424</v>
      </c>
      <c r="G27" s="38">
        <f>IF(LEFT(VLOOKUP($B27,'Indicator chart'!$D$1:$J$36,7,FALSE),1)=" "," ",VLOOKUP($B27,'Indicator chart'!$D$1:$J$36,7,FALSE))</f>
        <v>1215.3711522662252</v>
      </c>
      <c r="H27" s="50">
        <f t="shared" si="0"/>
        <v>2</v>
      </c>
      <c r="I27" s="38">
        <v>696.324951171875</v>
      </c>
      <c r="J27" s="38">
        <v>892.745849609375</v>
      </c>
      <c r="K27" s="38">
        <v>1021.6764526367188</v>
      </c>
      <c r="L27" s="38">
        <v>1221.65234375</v>
      </c>
      <c r="M27" s="38">
        <v>1711.15673828125</v>
      </c>
      <c r="N27" s="80">
        <f>VLOOKUP('Hide - Control'!B$3,'All practice data'!A:CA,A27+29,FALSE)</f>
        <v>1069.5055567039738</v>
      </c>
      <c r="O27" s="80">
        <f>VLOOKUP('Hide - Control'!C$3,'All practice data'!A:CA,A27+29,FALSE)</f>
        <v>1059.3522061277838</v>
      </c>
      <c r="P27" s="38">
        <f>VLOOKUP('Hide - Control'!$B$4,'All practice data'!B:BC,A27+2,FALSE)</f>
        <v>2173</v>
      </c>
      <c r="Q27" s="38">
        <f>VLOOKUP('Hide - Control'!$B$4,'All practice data'!B:BC,3,FALSE)</f>
        <v>203178</v>
      </c>
      <c r="R27" s="38">
        <f t="shared" si="21"/>
        <v>1025.0047910133403</v>
      </c>
      <c r="S27" s="38">
        <f t="shared" si="22"/>
        <v>1115.4411847245194</v>
      </c>
      <c r="T27" s="53">
        <f t="shared" si="19"/>
        <v>1711.15673828125</v>
      </c>
      <c r="U27" s="51">
        <f t="shared" si="20"/>
        <v>696.324951171875</v>
      </c>
      <c r="V27" s="7"/>
      <c r="W27" s="27">
        <f t="shared" si="2"/>
        <v>332.1961669921875</v>
      </c>
      <c r="X27" s="27">
        <f t="shared" si="3"/>
        <v>1711.15673828125</v>
      </c>
      <c r="Y27" s="27">
        <f t="shared" si="4"/>
        <v>332.1961669921875</v>
      </c>
      <c r="Z27" s="27">
        <f t="shared" si="5"/>
        <v>1711.15673828125</v>
      </c>
      <c r="AA27" s="32">
        <f t="shared" si="6"/>
        <v>0.264060330484502</v>
      </c>
      <c r="AB27" s="33">
        <f t="shared" si="7"/>
        <v>0.40650160293791543</v>
      </c>
      <c r="AC27" s="33">
        <v>0.5</v>
      </c>
      <c r="AD27" s="33">
        <f t="shared" si="8"/>
        <v>0.6450192958935311</v>
      </c>
      <c r="AE27" s="33">
        <f t="shared" si="9"/>
        <v>1</v>
      </c>
      <c r="AF27" s="33">
        <f t="shared" si="10"/>
        <v>-999</v>
      </c>
      <c r="AG27" s="33">
        <f t="shared" si="11"/>
        <v>0.30179745360844734</v>
      </c>
      <c r="AH27" s="33">
        <f t="shared" si="12"/>
        <v>-999</v>
      </c>
      <c r="AI27" s="34">
        <f t="shared" si="13"/>
        <v>0.5273218497145611</v>
      </c>
      <c r="AJ27" s="4">
        <v>24.221959800077364</v>
      </c>
      <c r="AK27" s="32">
        <f t="shared" si="14"/>
        <v>-999</v>
      </c>
      <c r="AL27" s="34">
        <f t="shared" si="15"/>
        <v>-999</v>
      </c>
      <c r="AY27" s="103" t="s">
        <v>115</v>
      </c>
      <c r="AZ27" s="103" t="s">
        <v>388</v>
      </c>
      <c r="BA27" s="103" t="s">
        <v>496</v>
      </c>
      <c r="BB27" s="10">
        <v>208863</v>
      </c>
      <c r="BE27" s="70"/>
      <c r="BF27" s="239"/>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8">
        <v>155.9251708984375</v>
      </c>
      <c r="J28" s="38">
        <v>378.8858337402344</v>
      </c>
      <c r="K28" s="38">
        <v>510.5704650878906</v>
      </c>
      <c r="L28" s="38">
        <v>628.8670654296875</v>
      </c>
      <c r="M28" s="38">
        <v>1026.694091796875</v>
      </c>
      <c r="N28" s="80">
        <f>VLOOKUP('Hide - Control'!B$3,'All practice data'!A:CA,A28+29,FALSE)</f>
        <v>532.045792359409</v>
      </c>
      <c r="O28" s="80">
        <f>VLOOKUP('Hide - Control'!C$3,'All practice data'!A:CA,A28+29,FALSE)</f>
        <v>582.9390489900089</v>
      </c>
      <c r="P28" s="38">
        <f>VLOOKUP('Hide - Control'!$B$4,'All practice data'!B:BC,A28+2,FALSE)</f>
        <v>1081</v>
      </c>
      <c r="Q28" s="38">
        <f>VLOOKUP('Hide - Control'!$B$4,'All practice data'!B:BC,3,FALSE)</f>
        <v>203178</v>
      </c>
      <c r="R28" s="38">
        <f>100000*(P28*(1-1/(9*P28)-1.96/(3*SQRT(P28)))^3)/Q28</f>
        <v>500.7972719380773</v>
      </c>
      <c r="S28" s="38">
        <f>100000*((P28+1)*(1-1/(9*(P28+1))+1.96/(3*SQRT(P28+1)))^3)/Q28</f>
        <v>564.7334485811771</v>
      </c>
      <c r="T28" s="53">
        <f t="shared" si="19"/>
        <v>1026.694091796875</v>
      </c>
      <c r="U28" s="51">
        <f t="shared" si="20"/>
        <v>155.9251708984375</v>
      </c>
      <c r="V28" s="7"/>
      <c r="W28" s="27">
        <f t="shared" si="2"/>
        <v>-5.55316162109375</v>
      </c>
      <c r="X28" s="27">
        <f t="shared" si="3"/>
        <v>1026.694091796875</v>
      </c>
      <c r="Y28" s="27">
        <f t="shared" si="4"/>
        <v>-5.55316162109375</v>
      </c>
      <c r="Z28" s="27">
        <f t="shared" si="5"/>
        <v>1026.694091796875</v>
      </c>
      <c r="AA28" s="32">
        <f t="shared" si="6"/>
        <v>0.15643377299851902</v>
      </c>
      <c r="AB28" s="33">
        <f t="shared" si="7"/>
        <v>0.3724291773006679</v>
      </c>
      <c r="AC28" s="33">
        <v>0.5</v>
      </c>
      <c r="AD28" s="33">
        <f t="shared" si="8"/>
        <v>0.6146010318265261</v>
      </c>
      <c r="AE28" s="33">
        <f t="shared" si="9"/>
        <v>1</v>
      </c>
      <c r="AF28" s="33">
        <f t="shared" si="10"/>
        <v>-999</v>
      </c>
      <c r="AG28" s="33">
        <f t="shared" si="11"/>
        <v>-999</v>
      </c>
      <c r="AH28" s="33">
        <f t="shared" si="12"/>
        <v>-999</v>
      </c>
      <c r="AI28" s="34">
        <f t="shared" si="13"/>
        <v>0.5701077999117866</v>
      </c>
      <c r="AJ28" s="4">
        <v>25.297955225459287</v>
      </c>
      <c r="AK28" s="32">
        <f t="shared" si="14"/>
        <v>-999</v>
      </c>
      <c r="AL28" s="34">
        <f t="shared" si="15"/>
        <v>-999</v>
      </c>
      <c r="AY28" s="103" t="s">
        <v>241</v>
      </c>
      <c r="AZ28" s="103" t="s">
        <v>242</v>
      </c>
      <c r="BA28" s="103" t="s">
        <v>496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391</v>
      </c>
      <c r="BA29" s="103" t="s">
        <v>316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412</v>
      </c>
      <c r="BA31" s="103" t="s">
        <v>316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371</v>
      </c>
      <c r="BA32" s="103" t="s">
        <v>316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436</v>
      </c>
      <c r="BA33" s="103" t="s">
        <v>496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316</v>
      </c>
      <c r="BB34" s="10">
        <v>532801</v>
      </c>
      <c r="BE34" s="77"/>
      <c r="BF34" s="253"/>
    </row>
    <row r="35" spans="2:58" ht="12.75">
      <c r="B35" s="17" t="s">
        <v>41</v>
      </c>
      <c r="C35" s="18"/>
      <c r="H35" s="290" t="s">
        <v>538</v>
      </c>
      <c r="I35" s="291"/>
      <c r="Y35" s="43"/>
      <c r="Z35" s="44"/>
      <c r="AA35" s="44"/>
      <c r="AB35" s="43"/>
      <c r="AC35" s="43"/>
      <c r="AY35" s="103" t="s">
        <v>159</v>
      </c>
      <c r="AZ35" s="103" t="s">
        <v>404</v>
      </c>
      <c r="BA35" s="103" t="s">
        <v>316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393</v>
      </c>
      <c r="BA36" s="103" t="s">
        <v>316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410</v>
      </c>
      <c r="BA37" s="103" t="s">
        <v>316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316</v>
      </c>
      <c r="BB40" s="10">
        <v>714731</v>
      </c>
      <c r="BF40" s="252"/>
    </row>
    <row r="41" spans="1:58" ht="12.75">
      <c r="A41" s="3"/>
      <c r="B41" s="71"/>
      <c r="C41" s="3"/>
      <c r="T41" s="13"/>
      <c r="U41" s="2"/>
      <c r="W41" s="2"/>
      <c r="X41" s="10"/>
      <c r="Y41" s="44"/>
      <c r="Z41" s="44"/>
      <c r="AA41" s="44"/>
      <c r="AB41" s="44"/>
      <c r="AC41" s="44"/>
      <c r="AD41" s="2"/>
      <c r="AE41" s="2"/>
      <c r="AY41" s="103" t="s">
        <v>272</v>
      </c>
      <c r="AZ41" s="103" t="s">
        <v>437</v>
      </c>
      <c r="BA41" s="103" t="s">
        <v>496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434</v>
      </c>
      <c r="BA43" s="103" t="s">
        <v>316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422</v>
      </c>
      <c r="BA44" s="103" t="s">
        <v>316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413</v>
      </c>
      <c r="BA46" s="103" t="s">
        <v>496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417</v>
      </c>
      <c r="BA48" s="103" t="s">
        <v>496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428</v>
      </c>
      <c r="BA49" s="103" t="s">
        <v>496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394</v>
      </c>
      <c r="BA51" s="103" t="s">
        <v>316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316</v>
      </c>
      <c r="BB52" s="10">
        <v>611636</v>
      </c>
      <c r="BF52" s="252"/>
    </row>
    <row r="53" spans="1:58" ht="12.75">
      <c r="A53" s="3"/>
      <c r="B53" s="12"/>
      <c r="C53" s="3"/>
      <c r="I53" s="11"/>
      <c r="J53" s="11"/>
      <c r="K53" s="11"/>
      <c r="L53" s="11"/>
      <c r="S53" s="11"/>
      <c r="U53" s="2"/>
      <c r="X53" s="2"/>
      <c r="Y53" s="2"/>
      <c r="Z53" s="2"/>
      <c r="AA53" s="2"/>
      <c r="AB53" s="2"/>
      <c r="AY53" s="103" t="s">
        <v>244</v>
      </c>
      <c r="AZ53" s="103" t="s">
        <v>427</v>
      </c>
      <c r="BA53" s="103" t="s">
        <v>316</v>
      </c>
      <c r="BB53" s="10">
        <v>230998</v>
      </c>
      <c r="BF53" s="252"/>
    </row>
    <row r="54" spans="1:58" ht="12.75">
      <c r="A54" s="3"/>
      <c r="B54" s="12"/>
      <c r="C54" s="3"/>
      <c r="I54" s="11"/>
      <c r="J54" s="11"/>
      <c r="K54" s="11"/>
      <c r="L54" s="11"/>
      <c r="S54" s="11"/>
      <c r="U54" s="2"/>
      <c r="X54" s="2"/>
      <c r="Y54" s="2"/>
      <c r="Z54" s="2"/>
      <c r="AA54" s="2"/>
      <c r="AB54" s="2"/>
      <c r="AY54" s="103" t="s">
        <v>67</v>
      </c>
      <c r="AZ54" s="103" t="s">
        <v>368</v>
      </c>
      <c r="BA54" s="103" t="s">
        <v>316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414</v>
      </c>
      <c r="BA55" s="103" t="s">
        <v>316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384</v>
      </c>
      <c r="BA56" s="103" t="s">
        <v>316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429</v>
      </c>
      <c r="BA57" s="103" t="s">
        <v>316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374</v>
      </c>
      <c r="BA58" s="103" t="s">
        <v>316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418</v>
      </c>
      <c r="BA61" s="103" t="s">
        <v>496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407</v>
      </c>
      <c r="BA63" s="103" t="s">
        <v>316</v>
      </c>
      <c r="BB63" s="10">
        <v>318405</v>
      </c>
      <c r="BE63" s="70"/>
      <c r="BF63" s="239"/>
    </row>
    <row r="64" spans="1:58" ht="12.75">
      <c r="A64" s="3"/>
      <c r="B64" s="12"/>
      <c r="C64" s="3"/>
      <c r="I64" s="11"/>
      <c r="V64" s="3"/>
      <c r="AY64" s="103" t="s">
        <v>78</v>
      </c>
      <c r="AZ64" s="103" t="s">
        <v>375</v>
      </c>
      <c r="BA64" s="103" t="s">
        <v>496</v>
      </c>
      <c r="BB64" s="10">
        <v>181285</v>
      </c>
      <c r="BE64" s="70"/>
      <c r="BF64" s="241"/>
    </row>
    <row r="65" spans="1:58" ht="12.75">
      <c r="A65" s="3"/>
      <c r="B65" s="12"/>
      <c r="C65" s="3"/>
      <c r="AY65" s="103" t="s">
        <v>485</v>
      </c>
      <c r="AZ65" s="103" t="s">
        <v>486</v>
      </c>
      <c r="BA65" s="103" t="s">
        <v>316</v>
      </c>
      <c r="BB65" s="10">
        <v>1169302</v>
      </c>
      <c r="BE65" s="70"/>
      <c r="BF65" s="241"/>
    </row>
    <row r="66" spans="1:58" ht="12.75">
      <c r="A66" s="3"/>
      <c r="B66" s="12"/>
      <c r="C66" s="3"/>
      <c r="E66" s="2"/>
      <c r="F66" s="2"/>
      <c r="G66" s="2"/>
      <c r="V66" s="2"/>
      <c r="AY66" s="103" t="s">
        <v>200</v>
      </c>
      <c r="AZ66" s="103" t="s">
        <v>415</v>
      </c>
      <c r="BA66" s="103" t="s">
        <v>316</v>
      </c>
      <c r="BB66" s="10">
        <v>217916</v>
      </c>
      <c r="BE66" s="70"/>
      <c r="BF66" s="239"/>
    </row>
    <row r="67" spans="1:58" ht="12.75">
      <c r="A67" s="3"/>
      <c r="B67" s="12"/>
      <c r="C67" s="3"/>
      <c r="AY67" s="103" t="s">
        <v>69</v>
      </c>
      <c r="AZ67" s="103" t="s">
        <v>70</v>
      </c>
      <c r="BA67" s="103" t="s">
        <v>316</v>
      </c>
      <c r="BB67" s="10">
        <v>270842</v>
      </c>
      <c r="BE67" s="70"/>
      <c r="BF67" s="239"/>
    </row>
    <row r="68" spans="1:58" ht="12.75">
      <c r="A68" s="3"/>
      <c r="B68" s="12"/>
      <c r="C68" s="3"/>
      <c r="AY68" s="103" t="s">
        <v>109</v>
      </c>
      <c r="AZ68" s="103" t="s">
        <v>110</v>
      </c>
      <c r="BA68" s="103" t="s">
        <v>316</v>
      </c>
      <c r="BB68" s="10">
        <v>251613</v>
      </c>
      <c r="BF68" s="252"/>
    </row>
    <row r="69" spans="1:58" ht="12.75">
      <c r="A69" s="3"/>
      <c r="B69" s="12"/>
      <c r="C69" s="3"/>
      <c r="AY69" s="103" t="s">
        <v>209</v>
      </c>
      <c r="AZ69" s="103" t="s">
        <v>210</v>
      </c>
      <c r="BA69" s="103" t="s">
        <v>316</v>
      </c>
      <c r="BB69" s="10">
        <v>283547</v>
      </c>
      <c r="BE69" s="70"/>
      <c r="BF69" s="241"/>
    </row>
    <row r="70" spans="1:58" ht="12.75">
      <c r="A70" s="3"/>
      <c r="B70" s="12"/>
      <c r="C70" s="3"/>
      <c r="AY70" s="103" t="s">
        <v>275</v>
      </c>
      <c r="AZ70" s="103" t="s">
        <v>438</v>
      </c>
      <c r="BA70" s="103" t="s">
        <v>495</v>
      </c>
      <c r="BB70" s="10">
        <v>141474</v>
      </c>
      <c r="BE70" s="70"/>
      <c r="BF70" s="239"/>
    </row>
    <row r="71" spans="1:58" ht="12.75">
      <c r="A71" s="3"/>
      <c r="B71" s="12"/>
      <c r="C71" s="3"/>
      <c r="AY71" s="103" t="s">
        <v>127</v>
      </c>
      <c r="AZ71" s="103" t="s">
        <v>392</v>
      </c>
      <c r="BA71" s="103" t="s">
        <v>316</v>
      </c>
      <c r="BB71" s="10">
        <v>213326</v>
      </c>
      <c r="BE71" s="70"/>
      <c r="BF71" s="239"/>
    </row>
    <row r="72" spans="1:58" ht="12.75">
      <c r="A72" s="3"/>
      <c r="B72" s="12"/>
      <c r="C72" s="3"/>
      <c r="AY72" s="103" t="s">
        <v>136</v>
      </c>
      <c r="AZ72" s="103" t="s">
        <v>137</v>
      </c>
      <c r="BA72" s="103" t="s">
        <v>316</v>
      </c>
      <c r="BB72" s="10">
        <v>183220</v>
      </c>
      <c r="BE72" s="250"/>
      <c r="BF72" s="239"/>
    </row>
    <row r="73" spans="1:58" ht="12.75">
      <c r="A73" s="3"/>
      <c r="B73" s="12"/>
      <c r="C73" s="3"/>
      <c r="AY73" s="103" t="s">
        <v>64</v>
      </c>
      <c r="AZ73" s="103" t="s">
        <v>367</v>
      </c>
      <c r="BA73" s="103" t="s">
        <v>316</v>
      </c>
      <c r="BB73" s="10">
        <v>190143</v>
      </c>
      <c r="BE73" s="70"/>
      <c r="BF73" s="239"/>
    </row>
    <row r="74" spans="1:58" ht="12.75">
      <c r="A74" s="3"/>
      <c r="B74" s="12"/>
      <c r="C74" s="3"/>
      <c r="AY74" s="103" t="s">
        <v>165</v>
      </c>
      <c r="AZ74" s="103" t="s">
        <v>166</v>
      </c>
      <c r="BA74" s="103" t="s">
        <v>496</v>
      </c>
      <c r="BB74" s="10">
        <v>419928</v>
      </c>
      <c r="BE74" s="70"/>
      <c r="BF74" s="241"/>
    </row>
    <row r="75" spans="1:58" ht="12.75">
      <c r="A75" s="3"/>
      <c r="B75" s="12"/>
      <c r="C75" s="3"/>
      <c r="AY75" s="103" t="s">
        <v>113</v>
      </c>
      <c r="AZ75" s="103" t="s">
        <v>386</v>
      </c>
      <c r="BA75" s="103" t="s">
        <v>316</v>
      </c>
      <c r="BB75" s="10">
        <v>158106</v>
      </c>
      <c r="BE75" s="70"/>
      <c r="BF75" s="241"/>
    </row>
    <row r="76" spans="1:58" ht="12.75">
      <c r="A76" s="3"/>
      <c r="B76" s="12"/>
      <c r="C76" s="3"/>
      <c r="AY76" s="103" t="s">
        <v>140</v>
      </c>
      <c r="AZ76" s="103" t="s">
        <v>141</v>
      </c>
      <c r="BA76" s="103" t="s">
        <v>316</v>
      </c>
      <c r="BB76" s="10">
        <v>377807</v>
      </c>
      <c r="BE76" s="70"/>
      <c r="BF76" s="241"/>
    </row>
    <row r="77" spans="1:58" ht="12.75">
      <c r="A77" s="3"/>
      <c r="B77" s="12"/>
      <c r="C77" s="3"/>
      <c r="AY77" s="103" t="s">
        <v>163</v>
      </c>
      <c r="AZ77" s="103" t="s">
        <v>164</v>
      </c>
      <c r="BA77" s="103" t="s">
        <v>496</v>
      </c>
      <c r="BB77" s="10">
        <v>799634</v>
      </c>
      <c r="BE77" s="70"/>
      <c r="BF77" s="249"/>
    </row>
    <row r="78" spans="1:58" ht="12.75">
      <c r="A78" s="3"/>
      <c r="B78" s="12"/>
      <c r="C78" s="3"/>
      <c r="AY78" s="103" t="s">
        <v>224</v>
      </c>
      <c r="AZ78" s="103" t="s">
        <v>225</v>
      </c>
      <c r="BA78" s="103" t="s">
        <v>316</v>
      </c>
      <c r="BB78" s="10">
        <v>362638</v>
      </c>
      <c r="BE78" s="70"/>
      <c r="BF78" s="239"/>
    </row>
    <row r="79" spans="1:58" ht="12.75">
      <c r="A79" s="3"/>
      <c r="B79" s="12"/>
      <c r="C79" s="3"/>
      <c r="AY79" s="103" t="s">
        <v>223</v>
      </c>
      <c r="AZ79" s="103" t="s">
        <v>420</v>
      </c>
      <c r="BA79" s="103" t="s">
        <v>316</v>
      </c>
      <c r="BB79" s="10">
        <v>678998</v>
      </c>
      <c r="BF79" s="239"/>
    </row>
    <row r="80" spans="1:58" ht="12.75">
      <c r="A80" s="3"/>
      <c r="B80" s="12"/>
      <c r="C80" s="3"/>
      <c r="AY80" s="103" t="s">
        <v>144</v>
      </c>
      <c r="AZ80" s="103" t="s">
        <v>145</v>
      </c>
      <c r="BA80" s="103" t="s">
        <v>316</v>
      </c>
      <c r="BB80" s="10">
        <v>290986</v>
      </c>
      <c r="BF80" s="252"/>
    </row>
    <row r="81" spans="1:58" ht="12.75">
      <c r="A81" s="3"/>
      <c r="B81" s="12"/>
      <c r="C81" s="3"/>
      <c r="AY81" s="103" t="s">
        <v>178</v>
      </c>
      <c r="AZ81" s="103" t="s">
        <v>409</v>
      </c>
      <c r="BA81" s="103" t="s">
        <v>496</v>
      </c>
      <c r="BB81" s="10">
        <v>747976</v>
      </c>
      <c r="BF81" s="252"/>
    </row>
    <row r="82" spans="1:58" ht="12.75">
      <c r="A82" s="3"/>
      <c r="B82" s="12"/>
      <c r="C82" s="3"/>
      <c r="AY82" s="103" t="s">
        <v>193</v>
      </c>
      <c r="AZ82" s="103" t="s">
        <v>194</v>
      </c>
      <c r="BA82" s="103" t="s">
        <v>316</v>
      </c>
      <c r="BB82" s="10">
        <v>489140</v>
      </c>
      <c r="BF82" s="252"/>
    </row>
    <row r="83" spans="1:58" ht="12.75">
      <c r="A83" s="3"/>
      <c r="B83" s="12"/>
      <c r="C83" s="3"/>
      <c r="AY83" s="103" t="s">
        <v>98</v>
      </c>
      <c r="AZ83" s="103" t="s">
        <v>383</v>
      </c>
      <c r="BA83" s="103" t="s">
        <v>496</v>
      </c>
      <c r="BB83" s="10">
        <v>208442</v>
      </c>
      <c r="BE83" s="70"/>
      <c r="BF83" s="241"/>
    </row>
    <row r="84" spans="1:58" ht="12.75">
      <c r="A84" s="3"/>
      <c r="B84" s="12"/>
      <c r="C84" s="3"/>
      <c r="AY84" s="103" t="s">
        <v>203</v>
      </c>
      <c r="AZ84" s="103" t="s">
        <v>204</v>
      </c>
      <c r="BA84" s="103" t="s">
        <v>496</v>
      </c>
      <c r="BB84" s="10">
        <v>545543</v>
      </c>
      <c r="BE84" s="70"/>
      <c r="BF84" s="241"/>
    </row>
    <row r="85" spans="1:58" ht="12.75">
      <c r="A85" s="3"/>
      <c r="B85" s="12"/>
      <c r="C85" s="3"/>
      <c r="AY85" s="103" t="s">
        <v>135</v>
      </c>
      <c r="AZ85" s="103" t="s">
        <v>398</v>
      </c>
      <c r="BA85" s="103" t="s">
        <v>496</v>
      </c>
      <c r="BB85" s="10">
        <v>274067</v>
      </c>
      <c r="BE85" s="70"/>
      <c r="BF85" s="241"/>
    </row>
    <row r="86" spans="1:58" ht="12.75">
      <c r="A86" s="3"/>
      <c r="B86" s="12"/>
      <c r="C86" s="3"/>
      <c r="AY86" s="103" t="s">
        <v>251</v>
      </c>
      <c r="AZ86" s="103" t="s">
        <v>252</v>
      </c>
      <c r="BA86" s="103" t="s">
        <v>496</v>
      </c>
      <c r="BB86" s="10">
        <v>374861</v>
      </c>
      <c r="BE86" s="70"/>
      <c r="BF86" s="249"/>
    </row>
    <row r="87" spans="1:58" ht="12.75">
      <c r="A87" s="3"/>
      <c r="B87" s="12"/>
      <c r="C87" s="3"/>
      <c r="AY87" s="103" t="s">
        <v>132</v>
      </c>
      <c r="AZ87" s="103" t="s">
        <v>133</v>
      </c>
      <c r="BA87" s="103" t="s">
        <v>316</v>
      </c>
      <c r="BB87" s="10">
        <v>153833</v>
      </c>
      <c r="BE87" s="70"/>
      <c r="BF87" s="249"/>
    </row>
    <row r="88" spans="1:58" ht="12.75">
      <c r="A88" s="3"/>
      <c r="B88" s="12"/>
      <c r="C88" s="3"/>
      <c r="AY88" s="103" t="s">
        <v>79</v>
      </c>
      <c r="AZ88" s="103" t="s">
        <v>80</v>
      </c>
      <c r="BA88" s="103" t="s">
        <v>496</v>
      </c>
      <c r="BB88" s="10">
        <v>258492</v>
      </c>
      <c r="BE88" s="70"/>
      <c r="BF88" s="241"/>
    </row>
    <row r="89" spans="1:58" ht="12.75">
      <c r="A89" s="3"/>
      <c r="B89" s="12"/>
      <c r="C89" s="3"/>
      <c r="AY89" s="103" t="s">
        <v>81</v>
      </c>
      <c r="AZ89" s="103" t="s">
        <v>376</v>
      </c>
      <c r="BA89" s="103" t="s">
        <v>316</v>
      </c>
      <c r="BB89" s="10">
        <v>283085</v>
      </c>
      <c r="BE89" s="70"/>
      <c r="BF89" s="241"/>
    </row>
    <row r="90" spans="1:58" ht="12.75">
      <c r="A90" s="3"/>
      <c r="B90" s="12"/>
      <c r="C90" s="3"/>
      <c r="AY90" s="103" t="s">
        <v>76</v>
      </c>
      <c r="AZ90" s="103" t="s">
        <v>373</v>
      </c>
      <c r="BA90" s="103" t="s">
        <v>316</v>
      </c>
      <c r="BB90" s="10">
        <v>357346</v>
      </c>
      <c r="BE90" s="70"/>
      <c r="BF90" s="241"/>
    </row>
    <row r="91" spans="1:58" ht="12.75">
      <c r="A91" s="3"/>
      <c r="B91" s="12"/>
      <c r="C91" s="3"/>
      <c r="AY91" s="103" t="s">
        <v>243</v>
      </c>
      <c r="AZ91" s="103" t="s">
        <v>426</v>
      </c>
      <c r="BA91" s="103" t="s">
        <v>496</v>
      </c>
      <c r="BB91" s="10">
        <v>748575</v>
      </c>
      <c r="BE91" s="247"/>
      <c r="BF91" s="249"/>
    </row>
    <row r="92" spans="1:58" ht="12.75">
      <c r="A92" s="3"/>
      <c r="B92" s="12"/>
      <c r="C92" s="3"/>
      <c r="AY92" s="103" t="s">
        <v>249</v>
      </c>
      <c r="AZ92" s="103" t="s">
        <v>250</v>
      </c>
      <c r="BA92" s="103" t="s">
        <v>496</v>
      </c>
      <c r="BB92" s="10">
        <v>322673</v>
      </c>
      <c r="BE92" s="247"/>
      <c r="BF92" s="249"/>
    </row>
    <row r="93" spans="1:58" ht="12.75">
      <c r="A93" s="3"/>
      <c r="B93" s="12"/>
      <c r="C93" s="3"/>
      <c r="AY93" s="103" t="s">
        <v>58</v>
      </c>
      <c r="AZ93" s="103" t="s">
        <v>59</v>
      </c>
      <c r="BA93" s="103" t="s">
        <v>316</v>
      </c>
      <c r="BB93" s="10">
        <v>165284</v>
      </c>
      <c r="BF93" s="252"/>
    </row>
    <row r="94" spans="1:58" ht="12.75">
      <c r="A94" s="3"/>
      <c r="B94" s="12"/>
      <c r="C94" s="3"/>
      <c r="AY94" s="103" t="s">
        <v>186</v>
      </c>
      <c r="AZ94" s="103" t="s">
        <v>411</v>
      </c>
      <c r="BA94" s="103" t="s">
        <v>316</v>
      </c>
      <c r="BB94" s="10">
        <v>339272</v>
      </c>
      <c r="BE94" s="70"/>
      <c r="BF94" s="241"/>
    </row>
    <row r="95" spans="1:58" ht="12.75">
      <c r="A95" s="3"/>
      <c r="B95" s="12"/>
      <c r="C95" s="3"/>
      <c r="AY95" s="103" t="s">
        <v>86</v>
      </c>
      <c r="AZ95" s="103" t="s">
        <v>87</v>
      </c>
      <c r="BA95" s="103" t="s">
        <v>316</v>
      </c>
      <c r="BB95" s="10">
        <v>165642</v>
      </c>
      <c r="BE95" s="247"/>
      <c r="BF95" s="249"/>
    </row>
    <row r="96" spans="1:58" ht="12.75">
      <c r="A96" s="3"/>
      <c r="B96" s="12"/>
      <c r="C96" s="3"/>
      <c r="AY96" s="103" t="s">
        <v>157</v>
      </c>
      <c r="AZ96" s="103" t="s">
        <v>158</v>
      </c>
      <c r="BA96" s="103" t="s">
        <v>316</v>
      </c>
      <c r="BB96" s="10">
        <v>208351</v>
      </c>
      <c r="BE96" s="243"/>
      <c r="BF96" s="238"/>
    </row>
    <row r="97" spans="1:58" ht="12.75">
      <c r="A97" s="3"/>
      <c r="B97" s="12"/>
      <c r="C97" s="3"/>
      <c r="AY97" s="103" t="s">
        <v>231</v>
      </c>
      <c r="AZ97" s="103" t="s">
        <v>232</v>
      </c>
      <c r="BA97" s="103" t="s">
        <v>316</v>
      </c>
      <c r="BB97" s="10">
        <v>203178</v>
      </c>
      <c r="BE97" s="243"/>
      <c r="BF97" s="238"/>
    </row>
    <row r="98" spans="1:58" ht="12.75">
      <c r="A98" s="3"/>
      <c r="B98" s="12"/>
      <c r="C98" s="3"/>
      <c r="AY98" s="103" t="s">
        <v>82</v>
      </c>
      <c r="AZ98" s="103" t="s">
        <v>377</v>
      </c>
      <c r="BA98" s="103" t="s">
        <v>316</v>
      </c>
      <c r="BB98" s="10">
        <v>214052</v>
      </c>
      <c r="BE98" s="248"/>
      <c r="BF98" s="241"/>
    </row>
    <row r="99" spans="1:58" ht="12.75">
      <c r="A99" s="3"/>
      <c r="B99" s="12"/>
      <c r="C99" s="3"/>
      <c r="AY99" s="103" t="s">
        <v>205</v>
      </c>
      <c r="AZ99" s="103" t="s">
        <v>206</v>
      </c>
      <c r="BA99" s="103" t="s">
        <v>496</v>
      </c>
      <c r="BB99" s="10">
        <v>795503</v>
      </c>
      <c r="BE99" s="70"/>
      <c r="BF99" s="249"/>
    </row>
    <row r="100" spans="1:58" ht="12.75">
      <c r="A100" s="3"/>
      <c r="B100" s="12"/>
      <c r="C100" s="3"/>
      <c r="AY100" s="103" t="s">
        <v>226</v>
      </c>
      <c r="AZ100" s="103" t="s">
        <v>421</v>
      </c>
      <c r="BA100" s="103" t="s">
        <v>316</v>
      </c>
      <c r="BB100" s="10">
        <v>648340</v>
      </c>
      <c r="BE100" s="70"/>
      <c r="BF100" s="249"/>
    </row>
    <row r="101" spans="51:58" ht="12.75">
      <c r="AY101" s="103" t="s">
        <v>51</v>
      </c>
      <c r="AZ101" s="103" t="s">
        <v>52</v>
      </c>
      <c r="BA101" s="103" t="s">
        <v>316</v>
      </c>
      <c r="BB101" s="10">
        <v>320818</v>
      </c>
      <c r="BE101" s="237"/>
      <c r="BF101" s="238"/>
    </row>
    <row r="102" spans="51:58" ht="12.75">
      <c r="AY102" s="103" t="s">
        <v>88</v>
      </c>
      <c r="AZ102" s="103" t="s">
        <v>89</v>
      </c>
      <c r="BA102" s="103" t="s">
        <v>316</v>
      </c>
      <c r="BB102" s="10">
        <v>339920</v>
      </c>
      <c r="BE102" s="237"/>
      <c r="BF102" s="238"/>
    </row>
    <row r="103" spans="51:58" ht="12.75">
      <c r="AY103" s="103" t="s">
        <v>177</v>
      </c>
      <c r="AZ103" s="103" t="s">
        <v>408</v>
      </c>
      <c r="BA103" s="103" t="s">
        <v>316</v>
      </c>
      <c r="BB103" s="10">
        <v>656875</v>
      </c>
      <c r="BE103" s="70"/>
      <c r="BF103" s="239"/>
    </row>
    <row r="104" spans="51:58" ht="12.75">
      <c r="AY104" s="103" t="s">
        <v>114</v>
      </c>
      <c r="AZ104" s="103" t="s">
        <v>387</v>
      </c>
      <c r="BA104" s="103" t="s">
        <v>316</v>
      </c>
      <c r="BB104" s="10">
        <v>236592</v>
      </c>
      <c r="BF104" s="252"/>
    </row>
    <row r="105" spans="51:58" ht="12.75">
      <c r="AY105" s="103" t="s">
        <v>259</v>
      </c>
      <c r="AZ105" s="103" t="s">
        <v>430</v>
      </c>
      <c r="BA105" s="103" t="s">
        <v>496</v>
      </c>
      <c r="BB105" s="10">
        <v>671572</v>
      </c>
      <c r="BE105" s="237"/>
      <c r="BF105" s="238"/>
    </row>
    <row r="106" spans="51:58" ht="12.75">
      <c r="AY106" s="103" t="s">
        <v>239</v>
      </c>
      <c r="AZ106" s="103" t="s">
        <v>240</v>
      </c>
      <c r="BA106" s="103" t="s">
        <v>496</v>
      </c>
      <c r="BB106" s="10">
        <v>177882</v>
      </c>
      <c r="BF106" s="252"/>
    </row>
    <row r="107" spans="51:58" ht="12.75">
      <c r="AY107" s="103" t="s">
        <v>91</v>
      </c>
      <c r="AZ107" s="103" t="s">
        <v>380</v>
      </c>
      <c r="BA107" s="103" t="s">
        <v>316</v>
      </c>
      <c r="BB107" s="10">
        <v>274443</v>
      </c>
      <c r="BF107" s="252"/>
    </row>
    <row r="108" spans="51:58" ht="12.75">
      <c r="AY108" s="103" t="s">
        <v>95</v>
      </c>
      <c r="AZ108" s="103" t="s">
        <v>382</v>
      </c>
      <c r="BA108" s="103" t="s">
        <v>316</v>
      </c>
      <c r="BB108" s="10">
        <v>213174</v>
      </c>
      <c r="BE108" s="70"/>
      <c r="BF108" s="239"/>
    </row>
    <row r="109" spans="51:58" ht="12.75">
      <c r="AY109" s="103" t="s">
        <v>179</v>
      </c>
      <c r="AZ109" s="103" t="s">
        <v>180</v>
      </c>
      <c r="BA109" s="103" t="s">
        <v>316</v>
      </c>
      <c r="BB109" s="10">
        <v>278950</v>
      </c>
      <c r="BE109" s="237"/>
      <c r="BF109" s="238"/>
    </row>
    <row r="110" spans="51:58" ht="12.75">
      <c r="AY110" s="103" t="s">
        <v>273</v>
      </c>
      <c r="AZ110" s="103" t="s">
        <v>274</v>
      </c>
      <c r="BA110" s="103" t="s">
        <v>316</v>
      </c>
      <c r="BB110" s="10">
        <v>133304</v>
      </c>
      <c r="BE110" s="70"/>
      <c r="BF110" s="249"/>
    </row>
    <row r="111" spans="51:58" ht="12.75">
      <c r="AY111" s="103" t="s">
        <v>155</v>
      </c>
      <c r="AZ111" s="103" t="s">
        <v>402</v>
      </c>
      <c r="BA111" s="103" t="s">
        <v>316</v>
      </c>
      <c r="BB111" s="10">
        <v>197060</v>
      </c>
      <c r="BE111" s="70"/>
      <c r="BF111" s="239"/>
    </row>
    <row r="112" spans="51:58" ht="12.75">
      <c r="AY112" s="103" t="s">
        <v>100</v>
      </c>
      <c r="AZ112" s="103" t="s">
        <v>101</v>
      </c>
      <c r="BA112" s="103" t="s">
        <v>316</v>
      </c>
      <c r="BB112" s="10">
        <v>253140</v>
      </c>
      <c r="BE112" s="250"/>
      <c r="BF112" s="249"/>
    </row>
    <row r="113" spans="51:58" ht="12.75">
      <c r="AY113" s="103" t="s">
        <v>92</v>
      </c>
      <c r="AZ113" s="103" t="s">
        <v>93</v>
      </c>
      <c r="BA113" s="103" t="s">
        <v>316</v>
      </c>
      <c r="BB113" s="10">
        <v>240983</v>
      </c>
      <c r="BE113" s="70"/>
      <c r="BF113" s="241"/>
    </row>
    <row r="114" spans="51:58" ht="12.75">
      <c r="AY114" s="103" t="s">
        <v>228</v>
      </c>
      <c r="AZ114" s="103" t="s">
        <v>423</v>
      </c>
      <c r="BA114" s="103" t="s">
        <v>316</v>
      </c>
      <c r="BB114" s="10">
        <v>340451</v>
      </c>
      <c r="BF114" s="241"/>
    </row>
    <row r="115" spans="51:58" ht="12.75">
      <c r="AY115" s="103" t="s">
        <v>189</v>
      </c>
      <c r="AZ115" s="103" t="s">
        <v>190</v>
      </c>
      <c r="BA115" s="103" t="s">
        <v>316</v>
      </c>
      <c r="BB115" s="10">
        <v>280673</v>
      </c>
      <c r="BE115" s="248"/>
      <c r="BF115" s="241"/>
    </row>
    <row r="116" spans="51:58" ht="12.75">
      <c r="AY116" s="103" t="s">
        <v>169</v>
      </c>
      <c r="AZ116" s="103" t="s">
        <v>170</v>
      </c>
      <c r="BA116" s="103" t="s">
        <v>316</v>
      </c>
      <c r="BB116" s="10">
        <v>565874</v>
      </c>
      <c r="BE116" s="70"/>
      <c r="BF116" s="239"/>
    </row>
    <row r="117" spans="51:58" ht="12.75">
      <c r="AY117" s="103" t="s">
        <v>152</v>
      </c>
      <c r="AZ117" s="103" t="s">
        <v>401</v>
      </c>
      <c r="BA117" s="103" t="s">
        <v>496</v>
      </c>
      <c r="BB117" s="10">
        <v>295379</v>
      </c>
      <c r="BE117" s="237"/>
      <c r="BF117" s="238"/>
    </row>
    <row r="118" spans="51:58" ht="12.75">
      <c r="AY118" s="103" t="s">
        <v>56</v>
      </c>
      <c r="AZ118" s="103" t="s">
        <v>57</v>
      </c>
      <c r="BA118" s="103" t="s">
        <v>316</v>
      </c>
      <c r="BB118" s="10">
        <v>217094</v>
      </c>
      <c r="BE118" s="70"/>
      <c r="BF118" s="239"/>
    </row>
    <row r="119" spans="51:58" ht="12.75">
      <c r="AY119" s="103" t="s">
        <v>268</v>
      </c>
      <c r="AZ119" s="103" t="s">
        <v>433</v>
      </c>
      <c r="BA119" s="103" t="s">
        <v>316</v>
      </c>
      <c r="BB119" s="10">
        <v>538131</v>
      </c>
      <c r="BE119" s="70"/>
      <c r="BF119" s="239"/>
    </row>
    <row r="120" spans="51:58" ht="12.75">
      <c r="AY120" s="103" t="s">
        <v>150</v>
      </c>
      <c r="AZ120" s="103" t="s">
        <v>151</v>
      </c>
      <c r="BA120" s="103" t="s">
        <v>496</v>
      </c>
      <c r="BB120" s="10">
        <v>389725</v>
      </c>
      <c r="BE120" s="70"/>
      <c r="BF120" s="239"/>
    </row>
    <row r="121" spans="51:58" ht="12.75">
      <c r="AY121" s="103" t="s">
        <v>212</v>
      </c>
      <c r="AZ121" s="103" t="s">
        <v>213</v>
      </c>
      <c r="BA121" s="103" t="s">
        <v>496</v>
      </c>
      <c r="BB121" s="10">
        <v>356812</v>
      </c>
      <c r="BE121" s="237"/>
      <c r="BF121" s="238"/>
    </row>
    <row r="122" spans="51:58" ht="12.75">
      <c r="AY122" s="103" t="s">
        <v>60</v>
      </c>
      <c r="AZ122" s="103" t="s">
        <v>61</v>
      </c>
      <c r="BA122" s="103" t="s">
        <v>316</v>
      </c>
      <c r="BB122" s="10">
        <v>256321</v>
      </c>
      <c r="BE122" s="70"/>
      <c r="BF122" s="249"/>
    </row>
    <row r="123" spans="51:58" ht="12.75">
      <c r="AY123" s="103" t="s">
        <v>234</v>
      </c>
      <c r="AZ123" s="103" t="s">
        <v>425</v>
      </c>
      <c r="BA123" s="103" t="s">
        <v>496</v>
      </c>
      <c r="BB123" s="10">
        <v>615835</v>
      </c>
      <c r="BF123" s="252"/>
    </row>
    <row r="124" spans="51:58" ht="12.75">
      <c r="AY124" s="103" t="s">
        <v>130</v>
      </c>
      <c r="AZ124" s="103" t="s">
        <v>395</v>
      </c>
      <c r="BA124" s="103" t="s">
        <v>316</v>
      </c>
      <c r="BB124" s="10">
        <v>150179</v>
      </c>
      <c r="BF124" s="252"/>
    </row>
    <row r="125" spans="51:58" ht="12.75">
      <c r="AY125" s="103" t="s">
        <v>253</v>
      </c>
      <c r="AZ125" s="103" t="s">
        <v>254</v>
      </c>
      <c r="BA125" s="103" t="s">
        <v>316</v>
      </c>
      <c r="BB125" s="10">
        <v>420503</v>
      </c>
      <c r="BE125" s="70"/>
      <c r="BF125" s="249"/>
    </row>
    <row r="126" spans="51:58" ht="12.75">
      <c r="AY126" s="103" t="s">
        <v>134</v>
      </c>
      <c r="AZ126" s="103" t="s">
        <v>397</v>
      </c>
      <c r="BA126" s="103" t="s">
        <v>316</v>
      </c>
      <c r="BB126" s="10">
        <v>263936</v>
      </c>
      <c r="BE126" s="70"/>
      <c r="BF126" s="239"/>
    </row>
    <row r="127" spans="51:58" ht="12.75">
      <c r="AY127" s="103" t="s">
        <v>142</v>
      </c>
      <c r="AZ127" s="103" t="s">
        <v>143</v>
      </c>
      <c r="BA127" s="103" t="s">
        <v>316</v>
      </c>
      <c r="BB127" s="10">
        <v>308593</v>
      </c>
      <c r="BF127" s="252"/>
    </row>
    <row r="128" spans="51:58" ht="12.75">
      <c r="AY128" s="103" t="s">
        <v>94</v>
      </c>
      <c r="AZ128" s="103" t="s">
        <v>381</v>
      </c>
      <c r="BA128" s="103" t="s">
        <v>496</v>
      </c>
      <c r="BB128" s="10">
        <v>298190</v>
      </c>
      <c r="BE128" s="250"/>
      <c r="BF128" s="249"/>
    </row>
    <row r="129" spans="51:58" ht="12.75">
      <c r="AY129" s="103" t="s">
        <v>85</v>
      </c>
      <c r="AZ129" s="103" t="s">
        <v>378</v>
      </c>
      <c r="BA129" s="103" t="s">
        <v>316</v>
      </c>
      <c r="BB129" s="10">
        <v>191885</v>
      </c>
      <c r="BE129" s="70"/>
      <c r="BF129" s="249"/>
    </row>
    <row r="130" spans="51:58" ht="12.75">
      <c r="AY130" s="103" t="s">
        <v>233</v>
      </c>
      <c r="AZ130" s="103" t="s">
        <v>424</v>
      </c>
      <c r="BA130" s="103" t="s">
        <v>316</v>
      </c>
      <c r="BB130" s="10">
        <v>268223</v>
      </c>
      <c r="BE130" s="70"/>
      <c r="BF130" s="249"/>
    </row>
    <row r="131" spans="51:58" ht="12.75">
      <c r="AY131" s="103" t="s">
        <v>245</v>
      </c>
      <c r="AZ131" s="103" t="s">
        <v>246</v>
      </c>
      <c r="BA131" s="103" t="s">
        <v>496</v>
      </c>
      <c r="BB131" s="10">
        <v>616983</v>
      </c>
      <c r="BE131" s="247"/>
      <c r="BF131" s="249"/>
    </row>
    <row r="132" spans="51:58" ht="12.75">
      <c r="AY132" s="103" t="s">
        <v>131</v>
      </c>
      <c r="AZ132" s="103" t="s">
        <v>396</v>
      </c>
      <c r="BA132" s="103" t="s">
        <v>316</v>
      </c>
      <c r="BB132" s="10">
        <v>283991</v>
      </c>
      <c r="BE132" s="247"/>
      <c r="BF132" s="249"/>
    </row>
    <row r="133" spans="51:58" ht="12.75">
      <c r="AY133" s="103" t="s">
        <v>216</v>
      </c>
      <c r="AZ133" s="103" t="s">
        <v>217</v>
      </c>
      <c r="BA133" s="103" t="s">
        <v>316</v>
      </c>
      <c r="BB133" s="10">
        <v>1156805</v>
      </c>
      <c r="BE133" s="247"/>
      <c r="BF133" s="251"/>
    </row>
    <row r="134" spans="51:58" ht="12.75">
      <c r="AY134" s="103" t="s">
        <v>156</v>
      </c>
      <c r="AZ134" s="103" t="s">
        <v>403</v>
      </c>
      <c r="BA134" s="103" t="s">
        <v>316</v>
      </c>
      <c r="BB134" s="10">
        <v>390971</v>
      </c>
      <c r="BE134" s="243"/>
      <c r="BF134" s="238"/>
    </row>
    <row r="135" spans="51:58" ht="12.75">
      <c r="AY135" s="103" t="s">
        <v>121</v>
      </c>
      <c r="AZ135" s="103" t="s">
        <v>122</v>
      </c>
      <c r="BA135" s="103" t="s">
        <v>495</v>
      </c>
      <c r="BB135" s="10">
        <v>218182</v>
      </c>
      <c r="BE135" s="250"/>
      <c r="BF135" s="249"/>
    </row>
    <row r="136" spans="51:58" ht="12.75">
      <c r="AY136" s="103" t="s">
        <v>148</v>
      </c>
      <c r="AZ136" s="103" t="s">
        <v>399</v>
      </c>
      <c r="BA136" s="103" t="s">
        <v>496</v>
      </c>
      <c r="BB136" s="10">
        <v>236598</v>
      </c>
      <c r="BE136" s="237"/>
      <c r="BF136" s="238"/>
    </row>
    <row r="137" spans="51:58" ht="12.75">
      <c r="AY137" s="103" t="s">
        <v>160</v>
      </c>
      <c r="AZ137" s="103" t="s">
        <v>405</v>
      </c>
      <c r="BA137" s="103" t="s">
        <v>496</v>
      </c>
      <c r="BB137" s="10">
        <v>165993</v>
      </c>
      <c r="BF137" s="252"/>
    </row>
    <row r="138" spans="51:58" ht="12.75">
      <c r="AY138" s="103" t="s">
        <v>54</v>
      </c>
      <c r="AZ138" s="103" t="s">
        <v>55</v>
      </c>
      <c r="BA138" s="103" t="s">
        <v>316</v>
      </c>
      <c r="BB138" s="10">
        <v>145889</v>
      </c>
      <c r="BE138" s="70"/>
      <c r="BF138" s="239"/>
    </row>
    <row r="139" spans="51:58" ht="12.75">
      <c r="AY139" s="103" t="s">
        <v>75</v>
      </c>
      <c r="AZ139" s="103" t="s">
        <v>372</v>
      </c>
      <c r="BA139" s="103" t="s">
        <v>316</v>
      </c>
      <c r="BB139" s="10">
        <v>267393</v>
      </c>
      <c r="BE139" s="237"/>
      <c r="BF139" s="238"/>
    </row>
    <row r="140" spans="51:58" ht="12.75">
      <c r="AY140" s="103" t="s">
        <v>201</v>
      </c>
      <c r="AZ140" s="103" t="s">
        <v>202</v>
      </c>
      <c r="BA140" s="103" t="s">
        <v>496</v>
      </c>
      <c r="BB140" s="10">
        <v>232551</v>
      </c>
      <c r="BE140" s="70"/>
      <c r="BF140" s="239"/>
    </row>
    <row r="141" spans="51:58" ht="12.75">
      <c r="AY141" s="103" t="s">
        <v>167</v>
      </c>
      <c r="AZ141" s="103" t="s">
        <v>168</v>
      </c>
      <c r="BA141" s="103" t="s">
        <v>496</v>
      </c>
      <c r="BB141" s="10">
        <v>350958</v>
      </c>
      <c r="BE141" s="70"/>
      <c r="BF141" s="239"/>
    </row>
    <row r="142" spans="51:58" ht="12.75">
      <c r="AY142" s="103" t="s">
        <v>153</v>
      </c>
      <c r="AZ142" s="103" t="s">
        <v>154</v>
      </c>
      <c r="BA142" s="103" t="s">
        <v>316</v>
      </c>
      <c r="BB142" s="10">
        <v>265654</v>
      </c>
      <c r="BE142" s="70"/>
      <c r="BF142" s="241"/>
    </row>
    <row r="143" spans="51:58" ht="12.75">
      <c r="AY143" s="103" t="s">
        <v>181</v>
      </c>
      <c r="AZ143" s="103" t="s">
        <v>182</v>
      </c>
      <c r="BA143" s="103" t="s">
        <v>316</v>
      </c>
      <c r="BB143" s="10">
        <v>284466</v>
      </c>
      <c r="BE143" s="70"/>
      <c r="BF143" s="249"/>
    </row>
    <row r="144" spans="51:58" ht="12.75">
      <c r="AY144" s="103" t="s">
        <v>146</v>
      </c>
      <c r="AZ144" s="103" t="s">
        <v>147</v>
      </c>
      <c r="BA144" s="103" t="s">
        <v>316</v>
      </c>
      <c r="BB144" s="10">
        <v>319933</v>
      </c>
      <c r="BE144" s="70"/>
      <c r="BF144" s="241"/>
    </row>
    <row r="145" spans="51:58" ht="12.75">
      <c r="AY145" s="103" t="s">
        <v>111</v>
      </c>
      <c r="AZ145" s="103" t="s">
        <v>112</v>
      </c>
      <c r="BA145" s="103" t="s">
        <v>316</v>
      </c>
      <c r="BB145" s="10">
        <v>192336</v>
      </c>
      <c r="BE145" s="248"/>
      <c r="BF145" s="249"/>
    </row>
    <row r="146" spans="51:58" ht="12.75">
      <c r="AY146" s="103" t="s">
        <v>237</v>
      </c>
      <c r="AZ146" s="103" t="s">
        <v>238</v>
      </c>
      <c r="BA146" s="103" t="s">
        <v>316</v>
      </c>
      <c r="BB146" s="10">
        <v>548313</v>
      </c>
      <c r="BF146" s="252"/>
    </row>
    <row r="147" spans="51:58" ht="12.75">
      <c r="AY147" s="103" t="s">
        <v>247</v>
      </c>
      <c r="AZ147" s="103" t="s">
        <v>248</v>
      </c>
      <c r="BA147" s="103" t="s">
        <v>316</v>
      </c>
      <c r="BB147" s="10">
        <v>287229</v>
      </c>
      <c r="BF147" s="252"/>
    </row>
    <row r="148" spans="51:58" ht="12.75">
      <c r="AY148" s="103" t="s">
        <v>222</v>
      </c>
      <c r="AZ148" s="103" t="s">
        <v>419</v>
      </c>
      <c r="BA148" s="103" t="s">
        <v>496</v>
      </c>
      <c r="BB148" s="10">
        <v>707573</v>
      </c>
      <c r="BF148" s="252"/>
    </row>
    <row r="149" spans="51:58" ht="12.75">
      <c r="AY149" s="103" t="s">
        <v>218</v>
      </c>
      <c r="AZ149" s="103" t="s">
        <v>219</v>
      </c>
      <c r="BA149" s="103" t="s">
        <v>496</v>
      </c>
      <c r="BB149" s="10">
        <v>825533</v>
      </c>
      <c r="BE149" s="248"/>
      <c r="BF149" s="249"/>
    </row>
    <row r="150" spans="51:58" ht="12.75">
      <c r="AY150" s="103" t="s">
        <v>196</v>
      </c>
      <c r="AZ150" s="103" t="s">
        <v>197</v>
      </c>
      <c r="BA150" s="103" t="s">
        <v>316</v>
      </c>
      <c r="BB150" s="10">
        <v>259945</v>
      </c>
      <c r="BF150" s="252"/>
    </row>
    <row r="151" spans="51:58" ht="12.75">
      <c r="AY151" s="103" t="s">
        <v>138</v>
      </c>
      <c r="AZ151" s="103" t="s">
        <v>139</v>
      </c>
      <c r="BA151" s="103" t="s">
        <v>316</v>
      </c>
      <c r="BB151" s="10">
        <v>246573</v>
      </c>
      <c r="BF151" s="252"/>
    </row>
    <row r="152" spans="51:58" ht="12.75">
      <c r="AY152" s="103" t="s">
        <v>266</v>
      </c>
      <c r="AZ152" s="103" t="s">
        <v>267</v>
      </c>
      <c r="BA152" s="103" t="s">
        <v>496</v>
      </c>
      <c r="BB152" s="10">
        <v>462395</v>
      </c>
      <c r="BE152" s="250"/>
      <c r="BF152" s="239"/>
    </row>
    <row r="153" spans="51:58" ht="12.75">
      <c r="AY153" s="103" t="s">
        <v>191</v>
      </c>
      <c r="AZ153" s="103" t="s">
        <v>192</v>
      </c>
      <c r="BA153" s="103" t="s">
        <v>316</v>
      </c>
      <c r="BB153" s="10">
        <v>332176</v>
      </c>
      <c r="BF153" s="252"/>
    </row>
    <row r="154" spans="51:58" ht="12.75">
      <c r="AY154" s="103" t="s">
        <v>161</v>
      </c>
      <c r="AZ154" s="103" t="s">
        <v>406</v>
      </c>
      <c r="BA154" s="103" t="s">
        <v>316</v>
      </c>
      <c r="BB154" s="10">
        <v>246213</v>
      </c>
      <c r="BE154" s="237"/>
      <c r="BF154" s="238"/>
    </row>
    <row r="155" spans="51:58" ht="12.75">
      <c r="AY155" s="103" t="s">
        <v>235</v>
      </c>
      <c r="AZ155" s="103" t="s">
        <v>236</v>
      </c>
      <c r="BA155" s="103" t="s">
        <v>496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520</v>
      </c>
      <c r="B3" s="56" t="s">
        <v>232</v>
      </c>
      <c r="C3" s="56" t="s">
        <v>24</v>
      </c>
    </row>
    <row r="4" spans="1:2" ht="12.75">
      <c r="A4" s="76">
        <v>1</v>
      </c>
      <c r="B4" s="78" t="s">
        <v>231</v>
      </c>
    </row>
    <row r="5" ht="12.75">
      <c r="A5" s="280" t="s">
        <v>520</v>
      </c>
    </row>
    <row r="6" ht="12.75">
      <c r="A6" s="280" t="s">
        <v>505</v>
      </c>
    </row>
    <row r="7" ht="12.75">
      <c r="A7" s="280" t="s">
        <v>510</v>
      </c>
    </row>
    <row r="8" ht="12.75">
      <c r="A8" s="280" t="s">
        <v>523</v>
      </c>
    </row>
    <row r="9" ht="12.75">
      <c r="A9" s="280" t="s">
        <v>506</v>
      </c>
    </row>
    <row r="10" ht="12.75">
      <c r="A10" s="280" t="s">
        <v>503</v>
      </c>
    </row>
    <row r="11" ht="12.75">
      <c r="A11" s="280" t="s">
        <v>544</v>
      </c>
    </row>
    <row r="12" ht="12.75">
      <c r="A12" s="280" t="s">
        <v>542</v>
      </c>
    </row>
    <row r="13" ht="12.75">
      <c r="A13" s="280" t="s">
        <v>516</v>
      </c>
    </row>
    <row r="14" ht="12.75">
      <c r="A14" s="280" t="s">
        <v>539</v>
      </c>
    </row>
    <row r="15" ht="12.75">
      <c r="A15" s="280" t="s">
        <v>513</v>
      </c>
    </row>
    <row r="16" ht="12.75">
      <c r="A16" s="280" t="s">
        <v>543</v>
      </c>
    </row>
    <row r="17" ht="12.75">
      <c r="A17" s="280" t="s">
        <v>509</v>
      </c>
    </row>
    <row r="18" ht="12.75">
      <c r="A18" s="280" t="s">
        <v>514</v>
      </c>
    </row>
    <row r="19" ht="12.75">
      <c r="A19" s="280" t="s">
        <v>515</v>
      </c>
    </row>
    <row r="20" ht="12.75">
      <c r="A20" s="280" t="s">
        <v>521</v>
      </c>
    </row>
    <row r="21" ht="12.75">
      <c r="A21" s="280" t="s">
        <v>540</v>
      </c>
    </row>
    <row r="22" ht="12.75">
      <c r="A22" s="280" t="s">
        <v>541</v>
      </c>
    </row>
    <row r="23" ht="12.75">
      <c r="A23" s="280" t="s">
        <v>501</v>
      </c>
    </row>
    <row r="24" ht="12.75">
      <c r="A24" s="280" t="s">
        <v>527</v>
      </c>
    </row>
    <row r="25" ht="12.75">
      <c r="A25" s="280" t="s">
        <v>518</v>
      </c>
    </row>
    <row r="26" ht="12.75">
      <c r="A26" s="280" t="s">
        <v>519</v>
      </c>
    </row>
    <row r="27" ht="12.75">
      <c r="A27" s="280" t="s">
        <v>526</v>
      </c>
    </row>
    <row r="28" ht="12.75">
      <c r="A28" s="280" t="s">
        <v>512</v>
      </c>
    </row>
    <row r="29" ht="12.75">
      <c r="A29" s="280" t="s">
        <v>528</v>
      </c>
    </row>
    <row r="30" ht="12.75">
      <c r="A30" s="280" t="s">
        <v>524</v>
      </c>
    </row>
    <row r="31" ht="12.75">
      <c r="A31" s="280" t="s">
        <v>507</v>
      </c>
    </row>
    <row r="32" ht="12.75">
      <c r="A32" s="280" t="s">
        <v>504</v>
      </c>
    </row>
    <row r="33" ht="12.75">
      <c r="A33" s="280" t="s">
        <v>522</v>
      </c>
    </row>
    <row r="34" ht="12.75">
      <c r="A34" s="280" t="s">
        <v>508</v>
      </c>
    </row>
    <row r="35" ht="12.75">
      <c r="A35" s="280" t="s">
        <v>525</v>
      </c>
    </row>
    <row r="36" ht="12.75">
      <c r="A36" s="280" t="s">
        <v>517</v>
      </c>
    </row>
    <row r="37" ht="12.75">
      <c r="A37" s="280" t="s">
        <v>502</v>
      </c>
    </row>
    <row r="38" ht="12.75">
      <c r="A38" s="280" t="s">
        <v>511</v>
      </c>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