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<sst xmlns="http://schemas.openxmlformats.org/spreadsheetml/2006/main" count="1873" uniqueCount="630">
  <si>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</si>
  <si>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</si>
  <si>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</si>
  <si>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</si>
  <si>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</si>
  <si>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</si>
  <si>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</si>
  <si>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</si>
  <si>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</si>
  <si>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</si>
  <si>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</si>
  <si>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</si>
  <si>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</si>
  <si>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</si>
  <si>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</si>
  <si>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</si>
  <si>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</si>
  <si>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</si>
  <si>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</si>
  <si>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</si>
  <si>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</si>
  <si>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</si>
  <si>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</si>
  <si>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</si>
  <si>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</si>
  <si>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</si>
  <si>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</si>
  <si>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</si>
  <si>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</si>
  <si>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</si>
  <si>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</si>
  <si>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</si>
  <si>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</si>
  <si>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</si>
  <si>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</si>
  <si>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</si>
  <si>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</si>
  <si>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</si>
  <si>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</si>
  <si>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</si>
  <si>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</si>
  <si>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</si>
  <si>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</si>
  <si>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</si>
  <si>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</si>
  <si>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</si>
  <si>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</si>
  <si>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</si>
  <si>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</si>
  <si>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</si>
  <si>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</si>
  <si>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</si>
  <si>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</si>
  <si>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</si>
  <si>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</si>
  <si>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</si>
  <si>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</si>
  <si>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</si>
  <si>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</si>
  <si>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</si>
  <si>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</si>
  <si>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</si>
  <si>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</si>
  <si>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</si>
  <si>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</si>
  <si>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</si>
  <si>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</si>
  <si>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</si>
  <si>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</si>
  <si>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</si>
  <si>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</si>
  <si>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</si>
  <si>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</si>
  <si>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</si>
  <si>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</si>
  <si>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</si>
  <si>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</si>
  <si>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</si>
  <si>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</si>
  <si>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</si>
  <si>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</si>
  <si>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</si>
  <si>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</si>
  <si>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</si>
  <si>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</si>
  <si>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</si>
  <si>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</si>
  <si>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</si>
  <si>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</si>
  <si>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</si>
  <si>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</si>
  <si>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</si>
  <si>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</si>
  <si>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</si>
  <si>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</si>
  <si>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</si>
  <si>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</si>
  <si>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</si>
  <si>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</si>
  <si>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</si>
  <si>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</si>
  <si>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</si>
  <si>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</si>
  <si>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</si>
  <si>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</si>
  <si>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</si>
  <si>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</si>
  <si>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</si>
  <si>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</si>
  <si>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</si>
  <si>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</si>
  <si>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</si>
  <si>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</si>
  <si>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</si>
  <si>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</si>
  <si>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</si>
  <si>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</si>
  <si>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</si>
  <si>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</si>
  <si>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</si>
  <si>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</si>
  <si>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</si>
  <si>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</si>
  <si>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</si>
  <si>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</si>
  <si>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</si>
  <si>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</si>
  <si>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</si>
  <si>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</si>
  <si>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</si>
  <si>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</si>
  <si>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</si>
  <si>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</si>
  <si>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</si>
  <si>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</si>
  <si>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</si>
  <si>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</si>
  <si>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</si>
  <si>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</si>
  <si>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</si>
  <si>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</si>
  <si>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</si>
  <si>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</si>
  <si>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</si>
  <si>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</si>
  <si>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</si>
  <si>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</si>
  <si>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</si>
  <si>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</si>
  <si>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</si>
  <si>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</si>
  <si>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</si>
  <si>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</si>
  <si>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</si>
  <si>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</si>
  <si>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</si>
  <si>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</si>
  <si>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</si>
  <si>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</si>
  <si>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</si>
  <si>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</si>
  <si>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</si>
  <si>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</si>
  <si>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</si>
  <si>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</si>
  <si>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</si>
  <si>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</si>
  <si>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</si>
  <si>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</si>
  <si>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</si>
  <si>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</si>
  <si>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</si>
  <si>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</si>
  <si>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</si>
  <si>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</si>
  <si>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</si>
  <si>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</si>
  <si>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</si>
  <si>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</si>
  <si>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</si>
  <si>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</si>
  <si>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</si>
  <si>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</si>
  <si>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</si>
  <si>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</si>
  <si>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</si>
  <si>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</si>
  <si>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</si>
  <si>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</si>
  <si>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</si>
  <si>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</si>
  <si>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</si>
  <si>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</si>
  <si>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</si>
  <si>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</si>
  <si>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</si>
  <si>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</si>
  <si>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</si>
  <si>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</si>
  <si>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</si>
  <si>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</si>
  <si>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</si>
  <si>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</si>
  <si>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</si>
  <si>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</si>
  <si>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</si>
  <si>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</si>
  <si>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</si>
  <si>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</si>
  <si>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</si>
  <si>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</si>
  <si>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</si>
  <si>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</si>
  <si>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</si>
  <si>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</si>
  <si>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</si>
  <si>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</si>
  <si>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</si>
  <si>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</si>
  <si>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</si>
  <si>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</si>
  <si>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</si>
  <si>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</si>
  <si>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</si>
  <si>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</si>
  <si>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</si>
  <si>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</si>
  <si>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</si>
  <si>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</si>
  <si>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</si>
  <si>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</si>
  <si>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</si>
  <si>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</si>
  <si>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</si>
  <si>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</si>
  <si>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</si>
  <si>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</si>
  <si>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</si>
  <si>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</si>
  <si>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</si>
  <si>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</si>
  <si>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</si>
  <si>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</si>
  <si>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</si>
  <si>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</si>
  <si>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</si>
  <si>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</si>
  <si>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</si>
  <si>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</si>
  <si>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</si>
  <si>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</si>
  <si>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</si>
  <si>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</si>
  <si>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</si>
  <si>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</si>
  <si>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</si>
  <si>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</si>
  <si>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</si>
  <si>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</si>
  <si>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</si>
  <si>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</si>
  <si>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</si>
  <si>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</si>
  <si>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</si>
  <si>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</si>
  <si>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</si>
  <si>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</si>
  <si>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</si>
  <si>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</si>
  <si>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</si>
  <si>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</si>
  <si>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</si>
  <si>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</si>
  <si>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</si>
  <si>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</si>
  <si>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</si>
  <si>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</si>
  <si>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</si>
  <si>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</si>
  <si>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</si>
  <si>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</si>
  <si>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</si>
  <si>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K83003</t>
  </si>
  <si>
    <t>K83004</t>
  </si>
  <si>
    <t>K83005</t>
  </si>
  <si>
    <t>K83006</t>
  </si>
  <si>
    <t>K83007</t>
  </si>
  <si>
    <t>K83008</t>
  </si>
  <si>
    <t>K83009</t>
  </si>
  <si>
    <t>K83011</t>
  </si>
  <si>
    <t>K83012</t>
  </si>
  <si>
    <t>K83013</t>
  </si>
  <si>
    <t>K83014</t>
  </si>
  <si>
    <t>K83015</t>
  </si>
  <si>
    <t>K83017</t>
  </si>
  <si>
    <t>K83018</t>
  </si>
  <si>
    <t>K83019</t>
  </si>
  <si>
    <t>K83020</t>
  </si>
  <si>
    <t>K83021</t>
  </si>
  <si>
    <t>K83022</t>
  </si>
  <si>
    <t>K83023</t>
  </si>
  <si>
    <t>K83024</t>
  </si>
  <si>
    <t>K83025</t>
  </si>
  <si>
    <t>K83026</t>
  </si>
  <si>
    <t>K83027</t>
  </si>
  <si>
    <t>K83028</t>
  </si>
  <si>
    <t>K83029</t>
  </si>
  <si>
    <t>K83030</t>
  </si>
  <si>
    <t>K83031</t>
  </si>
  <si>
    <t>K83032</t>
  </si>
  <si>
    <t>K83033</t>
  </si>
  <si>
    <t>K83035</t>
  </si>
  <si>
    <t>K83036</t>
  </si>
  <si>
    <t>K83037</t>
  </si>
  <si>
    <t>K83039</t>
  </si>
  <si>
    <t>K83040</t>
  </si>
  <si>
    <t>K83041</t>
  </si>
  <si>
    <t>K83042</t>
  </si>
  <si>
    <t>K83043</t>
  </si>
  <si>
    <t>K83044</t>
  </si>
  <si>
    <t>K83047</t>
  </si>
  <si>
    <t>K83048</t>
  </si>
  <si>
    <t>K83049</t>
  </si>
  <si>
    <t>K83050</t>
  </si>
  <si>
    <t>K83051</t>
  </si>
  <si>
    <t>K83052</t>
  </si>
  <si>
    <t>K83053</t>
  </si>
  <si>
    <t>K83055</t>
  </si>
  <si>
    <t>K83056</t>
  </si>
  <si>
    <t>K83058</t>
  </si>
  <si>
    <t>K83059</t>
  </si>
  <si>
    <t>K83064</t>
  </si>
  <si>
    <t>K83065</t>
  </si>
  <si>
    <t>K83066</t>
  </si>
  <si>
    <t>K83068</t>
  </si>
  <si>
    <t>K83069</t>
  </si>
  <si>
    <t>K83070</t>
  </si>
  <si>
    <t>K83074</t>
  </si>
  <si>
    <t>K83076</t>
  </si>
  <si>
    <t>K83077</t>
  </si>
  <si>
    <t>K83079</t>
  </si>
  <si>
    <t>K83080</t>
  </si>
  <si>
    <t>K83081</t>
  </si>
  <si>
    <t>K83601</t>
  </si>
  <si>
    <t>K83607</t>
  </si>
  <si>
    <t>K83610</t>
  </si>
  <si>
    <t>K83614</t>
  </si>
  <si>
    <t>K83616</t>
  </si>
  <si>
    <t>K83618</t>
  </si>
  <si>
    <t>K83619</t>
  </si>
  <si>
    <t>K83620</t>
  </si>
  <si>
    <t>K83621</t>
  </si>
  <si>
    <t>K83622</t>
  </si>
  <si>
    <t>K83625</t>
  </si>
  <si>
    <t>5CC</t>
  </si>
  <si>
    <t>Y00028</t>
  </si>
  <si>
    <t>Y00399</t>
  </si>
  <si>
    <t>Y01139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</si>
  <si>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</si>
  <si>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</si>
  <si>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</si>
  <si>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</si>
  <si>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</si>
  <si>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</si>
  <si>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</si>
  <si>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</si>
  <si>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</si>
  <si>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</si>
  <si>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</si>
  <si>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</si>
  <si>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</si>
  <si>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</si>
  <si>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</si>
  <si>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</si>
  <si>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</si>
  <si>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</si>
  <si>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</si>
  <si>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</si>
  <si>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</si>
  <si>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</si>
  <si>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</si>
  <si>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</si>
  <si>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</si>
  <si>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</si>
  <si>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</si>
  <si>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</si>
  <si>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</si>
  <si>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</si>
  <si>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</si>
  <si>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</si>
  <si>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</si>
  <si>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</si>
  <si>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</si>
  <si>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</si>
  <si>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</si>
  <si>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</si>
  <si>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</si>
  <si>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</si>
  <si>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</si>
  <si>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</si>
  <si>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</si>
  <si>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</si>
  <si>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</si>
  <si>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</si>
  <si>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</si>
  <si>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</si>
  <si>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</si>
  <si>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</si>
  <si>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</si>
  <si>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</si>
  <si>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</si>
  <si>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</si>
  <si>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</si>
  <si>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</si>
  <si>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</si>
  <si>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</si>
  <si>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</si>
  <si>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</si>
  <si>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</si>
  <si>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</si>
  <si>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</si>
  <si>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</si>
  <si>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</si>
  <si>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</si>
  <si>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</si>
  <si>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</si>
  <si>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</si>
  <si>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</si>
  <si>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</si>
  <si>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</si>
  <si>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</si>
  <si>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</si>
  <si>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</si>
  <si>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</si>
  <si>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</si>
  <si>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</si>
  <si>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</si>
  <si>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</si>
  <si>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</si>
  <si>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</si>
  <si>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</si>
  <si>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</si>
  <si>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</si>
  <si>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</si>
  <si>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</si>
  <si>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</si>
  <si>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</si>
  <si>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</si>
  <si>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</si>
  <si>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</si>
  <si>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</si>
  <si>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</si>
  <si>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</si>
  <si>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</si>
  <si>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</si>
  <si>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</si>
  <si>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</si>
  <si>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</si>
  <si>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</si>
  <si>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</si>
  <si>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</si>
  <si>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</si>
  <si>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</si>
  <si>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</si>
  <si>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</si>
  <si>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</si>
  <si>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</si>
  <si>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</si>
  <si>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</si>
  <si>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</si>
  <si>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</si>
  <si>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</si>
  <si>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</si>
  <si>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</si>
  <si>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</si>
  <si>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</si>
  <si>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</si>
  <si>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</si>
  <si>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</si>
  <si>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</si>
  <si>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</si>
  <si>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</si>
  <si>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</si>
  <si>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</si>
  <si>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</si>
  <si>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</si>
  <si>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</si>
  <si>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</si>
  <si>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</si>
  <si>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</si>
  <si>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</si>
  <si>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</si>
  <si>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</si>
  <si>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</si>
  <si>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</si>
  <si>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</si>
  <si>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</si>
  <si>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</si>
  <si>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</si>
  <si>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</si>
  <si>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</si>
  <si>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</si>
  <si>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</si>
  <si>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</si>
  <si>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</si>
  <si>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</si>
  <si>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</si>
  <si>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</si>
  <si>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</si>
  <si>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</si>
  <si>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</si>
  <si>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</si>
  <si>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</si>
  <si>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</si>
  <si>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</si>
  <si>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</si>
  <si>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</si>
  <si>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</si>
  <si>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</si>
  <si>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</si>
  <si>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</si>
  <si>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</si>
  <si>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</si>
  <si>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</si>
  <si>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</si>
  <si>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</si>
  <si>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</si>
  <si>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</si>
  <si>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</si>
  <si>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</si>
  <si>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</si>
  <si>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</si>
  <si>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</si>
  <si>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</si>
  <si>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</si>
  <si>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</si>
  <si>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</si>
  <si>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</si>
  <si>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</si>
  <si>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</si>
  <si>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</si>
  <si>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</si>
  <si>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</si>
  <si>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(K83003) QUEENSVIEW MEDICAL CENTRE</t>
  </si>
  <si>
    <t>(K83004) BRACKLEY HEALTH CENTRE</t>
  </si>
  <si>
    <t>(K83006) HEADLANDS SURGERY</t>
  </si>
  <si>
    <t>(K83008) THE PINES SURGERY</t>
  </si>
  <si>
    <t>(K83009) MOULTON SURGERY</t>
  </si>
  <si>
    <t>(K83011) THE REDWELL MEDICAL CENTRE</t>
  </si>
  <si>
    <t>(K83012) KING EDWARD ROAD SURGERY</t>
  </si>
  <si>
    <t>(K83013) ESKDAILL MEDICAL CENTRE</t>
  </si>
  <si>
    <t>(K83014) LEICESTER TCE HEALTH CENTREARE CENTRE</t>
  </si>
  <si>
    <t>(K83015) DANETRE MEDICAL PRACTICE</t>
  </si>
  <si>
    <t>(K83017) WANSFORD</t>
  </si>
  <si>
    <t>(K83018) SPRINGFIELD SURGERY</t>
  </si>
  <si>
    <t>(K83019) THE LONG BUCKBY PRACTICE</t>
  </si>
  <si>
    <t>(K83020) RILLWOOD MEDICAL CENTRE</t>
  </si>
  <si>
    <t>(K83021) ROTHWELL MEDICAL CENTRE</t>
  </si>
  <si>
    <t>(K83022) TOWCESTER MEDICAL CENTRE</t>
  </si>
  <si>
    <t>(K83023) OUNDLE</t>
  </si>
  <si>
    <t>(K83025) THE MOUNTS MEDICAL CENTRE</t>
  </si>
  <si>
    <t>(K83027) LANGHAM PLACE SURGERY</t>
  </si>
  <si>
    <t>(K83029) ABINGTON PARK SURGERY</t>
  </si>
  <si>
    <t>(K83030) THE COTTONS MEDICAL CENTRE</t>
  </si>
  <si>
    <t>(K83031) BYFIELD MEDICAL CENTRE</t>
  </si>
  <si>
    <t>(K83032) ABBEY HOUSE MEDICAL PRACTICE</t>
  </si>
  <si>
    <t>(K83035) KINGSTHORPE MEDICAL CENTRE</t>
  </si>
  <si>
    <t>(K83036) LINDEN AVENUE MEDICAL CENTRE</t>
  </si>
  <si>
    <t>(K83040) WOODVIEW MEDICAL CENTRE</t>
  </si>
  <si>
    <t>(K83041) HARLESTONE ROAD SURGERY</t>
  </si>
  <si>
    <t>(K83042) PARK AVENUE MEDICAL CENTRE</t>
  </si>
  <si>
    <t>(K83043) ABINGTON HEALTH COMPLEX</t>
  </si>
  <si>
    <t>(K83047) ABBEY MEDICAL PRACTICE</t>
  </si>
  <si>
    <t>(K83048) BROOK MEDICAL CENTRE</t>
  </si>
  <si>
    <t>(K83049) WASHINGTON HOUSE SURGERY</t>
  </si>
  <si>
    <t>(K83050) THE CRESCENT MEDICAL CENTRE</t>
  </si>
  <si>
    <t>(K83051) WEAVERS MEDICAL</t>
  </si>
  <si>
    <t>(K83052) DR HILLIER AND PARTNERS</t>
  </si>
  <si>
    <t>(K83053) CRICK MEDICAL PRACTICE</t>
  </si>
  <si>
    <t>(K83055) WOOTTON MEDICAL CENTRE</t>
  </si>
  <si>
    <t>(K83056) COUNTY SURGERY</t>
  </si>
  <si>
    <t>(K83058) CLARENCE AVENUE SURGERY</t>
  </si>
  <si>
    <t>(K83064) THE SAXON SPIRES PRACTICE</t>
  </si>
  <si>
    <t>(K83068) DENTON VILLAGE SURGERY</t>
  </si>
  <si>
    <t>(K83069) DR ALEXANDER</t>
  </si>
  <si>
    <t>(K83070) BUGBROOKE SURGERY</t>
  </si>
  <si>
    <t>(K83074) LINGS BROOK PRACTICE</t>
  </si>
  <si>
    <t>(K83076) HASSAN</t>
  </si>
  <si>
    <t>(K83077) GREENVIEW SURGERY</t>
  </si>
  <si>
    <t>(K83080) HIGHAM FERRERS SURGERY</t>
  </si>
  <si>
    <t>(K83081) SUMMERLEE MEDICAL CENTRE</t>
  </si>
  <si>
    <t>(K83601) EARLS BARTON MEDICAL CENTRE</t>
  </si>
  <si>
    <t>(K83607) DR SUMIRA</t>
  </si>
  <si>
    <t>(K83610) DANES CAMP SURGERY</t>
  </si>
  <si>
    <t>(K83616) THE MEADOWS SURGERY</t>
  </si>
  <si>
    <t>(K83619) PENVALE PARK MEDICAL CENTRE</t>
  </si>
  <si>
    <t>(K83620) THE BROOK HEALTH CENTRE</t>
  </si>
  <si>
    <t>(K83621) MAPLE ACCESS PARTNERSHIP LLP</t>
  </si>
  <si>
    <t>(K83622) GREAT OAKLEY MEDICAL CENTRE</t>
  </si>
  <si>
    <t>(K83625) DR OLIVER DK</t>
  </si>
  <si>
    <t>(Y00028) KINGS HEATH HEALTH CARE CENTRE</t>
  </si>
  <si>
    <t>(Y00399) DR PASQUALI</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</si>
  <si>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</si>
  <si>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</si>
  <si>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</si>
  <si>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</si>
  <si>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</si>
  <si>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</si>
  <si>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</si>
  <si>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</si>
  <si>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</si>
  <si>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</si>
  <si>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(Y01139) DR DATTA + PARTNERS</t>
  </si>
  <si>
    <t>(K83005) DR WAINWRIGHT + PARTNERS</t>
  </si>
  <si>
    <t>(K83007) DR WINGFIELD + PARTNERS</t>
  </si>
  <si>
    <t>(K83024) DR HANSPAUL + PARTNERS</t>
  </si>
  <si>
    <t>(K83026) DR CRAIG + PARTNERS</t>
  </si>
  <si>
    <t>(K83028) DR BEVAN + PARTNERS</t>
  </si>
  <si>
    <t>(K83033) MOLLA + KESANI</t>
  </si>
  <si>
    <t>(K83037) DR SPENCER + PARTNERS</t>
  </si>
  <si>
    <t>(K83039) DR FITTON + PARTNERS</t>
  </si>
  <si>
    <t>(K83044) DR HOGG + PARTNERS</t>
  </si>
  <si>
    <t>(K83059) DR KHALID + PARTNERS</t>
  </si>
  <si>
    <t>(K83065) DR COTTERELL + PARTNERS</t>
  </si>
  <si>
    <t>(K83066) GREENS NORTON + WEEDON MEDICAL PRACTICE</t>
  </si>
  <si>
    <t>(K83079) DR MARATHE + PARTNER</t>
  </si>
  <si>
    <t>(K83614) DR KUMAR + PARTNER STUDFALL MEDICAL CENTRE</t>
  </si>
  <si>
    <t>(K83618) DRS LAKHA + ABBAS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</si>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</sst>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0.7639617538071658</c:v>
                </c:pt>
                <c:pt idx="3">
                  <c:v>1</c:v>
                </c:pt>
                <c:pt idx="4">
                  <c:v>1</c:v>
                </c:pt>
                <c:pt idx="5">
                  <c:v>1</c:v>
                </c:pt>
                <c:pt idx="6">
                  <c:v>0.9615384394953249</c:v>
                </c:pt>
                <c:pt idx="7">
                  <c:v>0.6480119532256231</c:v>
                </c:pt>
                <c:pt idx="8">
                  <c:v>0.9523800056011251</c:v>
                </c:pt>
                <c:pt idx="9">
                  <c:v>0.7494402679121269</c:v>
                </c:pt>
                <c:pt idx="10">
                  <c:v>0.6923311350068544</c:v>
                </c:pt>
                <c:pt idx="11">
                  <c:v>0.6580890017311787</c:v>
                </c:pt>
                <c:pt idx="12">
                  <c:v>1</c:v>
                </c:pt>
                <c:pt idx="13">
                  <c:v>0</c:v>
                </c:pt>
                <c:pt idx="14">
                  <c:v>1</c:v>
                </c:pt>
                <c:pt idx="15">
                  <c:v>0.8759206920265971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0.5658330471694721</c:v>
                </c:pt>
                <c:pt idx="3">
                  <c:v>0.5735294098311642</c:v>
                </c:pt>
                <c:pt idx="4">
                  <c:v>0.6405702452088591</c:v>
                </c:pt>
                <c:pt idx="5">
                  <c:v>0.6294192454838173</c:v>
                </c:pt>
                <c:pt idx="6">
                  <c:v>0.6538460987383123</c:v>
                </c:pt>
                <c:pt idx="7">
                  <c:v>0.5585746102648803</c:v>
                </c:pt>
                <c:pt idx="8">
                  <c:v>0.6622933244005974</c:v>
                </c:pt>
                <c:pt idx="9">
                  <c:v>0.5596139956827113</c:v>
                </c:pt>
                <c:pt idx="10">
                  <c:v>0.5459391763425144</c:v>
                </c:pt>
                <c:pt idx="11">
                  <c:v>0.5467954958685051</c:v>
                </c:pt>
                <c:pt idx="12">
                  <c:v>0.5639177244972589</c:v>
                </c:pt>
                <c:pt idx="13">
                  <c:v>0</c:v>
                </c:pt>
                <c:pt idx="14">
                  <c:v>0.60198188950852</c:v>
                </c:pt>
                <c:pt idx="15">
                  <c:v>0.6101286620508963</c:v>
                </c:pt>
                <c:pt idx="16">
                  <c:v>0.6273099548739732</c:v>
                </c:pt>
                <c:pt idx="17">
                  <c:v>0.557981081979586</c:v>
                </c:pt>
                <c:pt idx="18">
                  <c:v>0.5691814895658315</c:v>
                </c:pt>
                <c:pt idx="19">
                  <c:v>0.5686827074468955</c:v>
                </c:pt>
                <c:pt idx="20">
                  <c:v>0.6250917131239447</c:v>
                </c:pt>
                <c:pt idx="21">
                  <c:v>0.6218581600116525</c:v>
                </c:pt>
                <c:pt idx="22">
                  <c:v>0.6390583246803031</c:v>
                </c:pt>
                <c:pt idx="23">
                  <c:v>0.6026290714784973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0.43058293643246964</c:v>
                </c:pt>
                <c:pt idx="3">
                  <c:v>0.35294118033767174</c:v>
                </c:pt>
                <c:pt idx="4">
                  <c:v>0.39110715520556716</c:v>
                </c:pt>
                <c:pt idx="5">
                  <c:v>0.39214200632839913</c:v>
                </c:pt>
                <c:pt idx="6">
                  <c:v>0.365384600918807</c:v>
                </c:pt>
                <c:pt idx="7">
                  <c:v>0.43173900427119094</c:v>
                </c:pt>
                <c:pt idx="8">
                  <c:v>0.3174609668931611</c:v>
                </c:pt>
                <c:pt idx="9">
                  <c:v>0.4309392514479907</c:v>
                </c:pt>
                <c:pt idx="10">
                  <c:v>0.37703592844401823</c:v>
                </c:pt>
                <c:pt idx="11">
                  <c:v>0.3884465272191269</c:v>
                </c:pt>
                <c:pt idx="12">
                  <c:v>0.3921851236218559</c:v>
                </c:pt>
                <c:pt idx="13">
                  <c:v>0</c:v>
                </c:pt>
                <c:pt idx="14">
                  <c:v>0.4205149710614879</c:v>
                </c:pt>
                <c:pt idx="15">
                  <c:v>0.41641514385143324</c:v>
                </c:pt>
                <c:pt idx="16">
                  <c:v>0.3770153698341659</c:v>
                </c:pt>
                <c:pt idx="17">
                  <c:v>0.43252121828652124</c:v>
                </c:pt>
                <c:pt idx="18">
                  <c:v>0.44444589672288987</c:v>
                </c:pt>
                <c:pt idx="19">
                  <c:v>0.4555563228185923</c:v>
                </c:pt>
                <c:pt idx="20">
                  <c:v>0.37018372005786004</c:v>
                </c:pt>
                <c:pt idx="21">
                  <c:v>0.40219506773995295</c:v>
                </c:pt>
                <c:pt idx="22">
                  <c:v>0.4173446618246915</c:v>
                </c:pt>
                <c:pt idx="23">
                  <c:v>0.40143823470691015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0.2941176502813931</c:v>
                </c:pt>
                <c:pt idx="4">
                  <c:v>0.011515171185668414</c:v>
                </c:pt>
                <c:pt idx="5">
                  <c:v>0.04998927981809966</c:v>
                </c:pt>
                <c:pt idx="6">
                  <c:v>0</c:v>
                </c:pt>
                <c:pt idx="7">
                  <c:v>0</c:v>
                </c:pt>
                <c:pt idx="8">
                  <c:v>0</c:v>
                </c:pt>
                <c:pt idx="9">
                  <c:v>0</c:v>
                </c:pt>
                <c:pt idx="10">
                  <c:v>0</c:v>
                </c:pt>
                <c:pt idx="11">
                  <c:v>0</c:v>
                </c:pt>
                <c:pt idx="12">
                  <c:v>0.19185412093212573</c:v>
                </c:pt>
                <c:pt idx="13">
                  <c:v>0</c:v>
                </c:pt>
                <c:pt idx="14">
                  <c:v>0.22276041732711743</c:v>
                </c:pt>
                <c:pt idx="15">
                  <c:v>0</c:v>
                </c:pt>
                <c:pt idx="16">
                  <c:v>0.14958551113717664</c:v>
                </c:pt>
                <c:pt idx="17">
                  <c:v>0.3205227434166734</c:v>
                </c:pt>
                <c:pt idx="18">
                  <c:v>0.32445105450348943</c:v>
                </c:pt>
                <c:pt idx="19">
                  <c:v>0.36357978677630165</c:v>
                </c:pt>
                <c:pt idx="20">
                  <c:v>0.18497959728902225</c:v>
                </c:pt>
                <c:pt idx="21">
                  <c:v>0.23232481776489994</c:v>
                </c:pt>
                <c:pt idx="22">
                  <c:v>0.03421337209518705</c:v>
                </c:pt>
                <c:pt idx="23">
                  <c:v>0.16961021982531257</c:v>
                </c:pt>
                <c:pt idx="24">
                  <c:v>0</c:v>
                </c:pt>
                <c:pt idx="25">
                  <c:v>0</c:v>
                </c:pt>
                <c:pt idx="26">
                  <c:v>0</c:v>
                </c:pt>
              </c:numCache>
            </c:numRef>
          </c:val>
        </c:ser>
        <c:overlap val="100"/>
        <c:gapWidth val="100"/>
        <c:axId val="49735480"/>
        <c:axId val="449661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0.5305104615548094</c:v>
                </c:pt>
                <c:pt idx="3">
                  <c:v>0.5885567841489638</c:v>
                </c:pt>
                <c:pt idx="4">
                  <c:v>0.526523093893116</c:v>
                </c:pt>
                <c:pt idx="5">
                  <c:v>0.5496159224400268</c:v>
                </c:pt>
                <c:pt idx="6">
                  <c:v>0.4977202148428615</c:v>
                </c:pt>
                <c:pt idx="7">
                  <c:v>0.4413732673232185</c:v>
                </c:pt>
                <c:pt idx="8">
                  <c:v>0.5905822920450944</c:v>
                </c:pt>
                <c:pt idx="9">
                  <c:v>0.4686684200695472</c:v>
                </c:pt>
                <c:pt idx="10">
                  <c:v>0.3936366234157536</c:v>
                </c:pt>
                <c:pt idx="11">
                  <c:v>0.4785552617484722</c:v>
                </c:pt>
                <c:pt idx="12">
                  <c:v>0.5256465193244083</c:v>
                </c:pt>
                <c:pt idx="13">
                  <c:v>0.5</c:v>
                </c:pt>
                <c:pt idx="14">
                  <c:v>0.5101754571817718</c:v>
                </c:pt>
                <c:pt idx="15">
                  <c:v>0.5231160906083266</c:v>
                </c:pt>
                <c:pt idx="16">
                  <c:v>0.47446593683709315</c:v>
                </c:pt>
                <c:pt idx="17">
                  <c:v>0.5232310517847674</c:v>
                </c:pt>
                <c:pt idx="18">
                  <c:v>0.5658692469664504</c:v>
                </c:pt>
                <c:pt idx="19">
                  <c:v>0.5626876207249256</c:v>
                </c:pt>
                <c:pt idx="20">
                  <c:v>0.6372145586621238</c:v>
                </c:pt>
                <c:pt idx="21">
                  <c:v>0.45598781597125143</c:v>
                </c:pt>
                <c:pt idx="22">
                  <c:v>0.7524225312577697</c:v>
                </c:pt>
                <c:pt idx="23">
                  <c:v>0.6036668683843919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0.4922989552346275</c:v>
                </c:pt>
                <c:pt idx="5">
                  <c:v>0.3724824221936887</c:v>
                </c:pt>
                <c:pt idx="6">
                  <c:v>-999</c:v>
                </c:pt>
                <c:pt idx="7">
                  <c:v>0.49504778135232147</c:v>
                </c:pt>
                <c:pt idx="8">
                  <c:v>-999</c:v>
                </c:pt>
                <c:pt idx="9">
                  <c:v>0.4793051729806314</c:v>
                </c:pt>
                <c:pt idx="10">
                  <c:v>-999</c:v>
                </c:pt>
                <c:pt idx="11">
                  <c:v>0.5291086422146487</c:v>
                </c:pt>
                <c:pt idx="12">
                  <c:v>-999</c:v>
                </c:pt>
                <c:pt idx="13">
                  <c:v>-999</c:v>
                </c:pt>
                <c:pt idx="14">
                  <c:v>0.5344488114725786</c:v>
                </c:pt>
                <c:pt idx="15">
                  <c:v>0.4807923727315673</c:v>
                </c:pt>
                <c:pt idx="16">
                  <c:v>-999</c:v>
                </c:pt>
                <c:pt idx="17">
                  <c:v>-999</c:v>
                </c:pt>
                <c:pt idx="18">
                  <c:v>0.48125197084666316</c:v>
                </c:pt>
                <c:pt idx="19">
                  <c:v>0.48898229076464816</c:v>
                </c:pt>
                <c:pt idx="20">
                  <c:v>0.5324914554743867</c:v>
                </c:pt>
                <c:pt idx="21">
                  <c:v>-999</c:v>
                </c:pt>
                <c:pt idx="22">
                  <c:v>0.5276865414653427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0.439144963120225</c:v>
                </c:pt>
                <c:pt idx="3">
                  <c:v>0.47058824220330675</c:v>
                </c:pt>
                <c:pt idx="4">
                  <c:v>-999</c:v>
                </c:pt>
                <c:pt idx="5">
                  <c:v>-999</c:v>
                </c:pt>
                <c:pt idx="6">
                  <c:v>0.3846153618999324</c:v>
                </c:pt>
                <c:pt idx="7">
                  <c:v>-999</c:v>
                </c:pt>
                <c:pt idx="8">
                  <c:v>0.18826116374622795</c:v>
                </c:pt>
                <c:pt idx="9">
                  <c:v>-999</c:v>
                </c:pt>
                <c:pt idx="10">
                  <c:v>0.5513054697196137</c:v>
                </c:pt>
                <c:pt idx="11">
                  <c:v>-999</c:v>
                </c:pt>
                <c:pt idx="12">
                  <c:v>0.3912642430637985</c:v>
                </c:pt>
                <c:pt idx="13">
                  <c:v>0.3438046195382221</c:v>
                </c:pt>
                <c:pt idx="14">
                  <c:v>-999</c:v>
                </c:pt>
                <c:pt idx="15">
                  <c:v>-999</c:v>
                </c:pt>
                <c:pt idx="16">
                  <c:v>0.37555439568600524</c:v>
                </c:pt>
                <c:pt idx="17">
                  <c:v>0.46251394835531956</c:v>
                </c:pt>
                <c:pt idx="18">
                  <c:v>-999</c:v>
                </c:pt>
                <c:pt idx="19">
                  <c:v>-999</c:v>
                </c:pt>
                <c:pt idx="20">
                  <c:v>-999</c:v>
                </c:pt>
                <c:pt idx="21">
                  <c:v>0.3942493546718569</c:v>
                </c:pt>
                <c:pt idx="22">
                  <c:v>-999</c:v>
                </c:pt>
                <c:pt idx="23">
                  <c:v>0.3236848509911517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42050"/>
        <c:axId val="18378451"/>
      </c:scatterChart>
      <c:catAx>
        <c:axId val="49735480"/>
        <c:scaling>
          <c:orientation val="maxMin"/>
        </c:scaling>
        <c:axPos val="l"/>
        <c:delete val="0"/>
        <c:numFmt formatCode="General" sourceLinked="1"/>
        <c:majorTickMark val="out"/>
        <c:minorTickMark val="none"/>
        <c:tickLblPos val="none"/>
        <c:spPr>
          <a:ln w="3175">
            <a:noFill/>
          </a:ln>
        </c:spPr>
        <c:crossAx val="44966137"/>
        <c:crosses val="autoZero"/>
        <c:auto val="1"/>
        <c:lblOffset val="100"/>
        <c:tickLblSkip val="1"/>
        <c:noMultiLvlLbl val="0"/>
      </c:catAx>
      <c:valAx>
        <c:axId val="44966137"/>
        <c:scaling>
          <c:orientation val="minMax"/>
          <c:max val="1"/>
          <c:min val="0"/>
        </c:scaling>
        <c:axPos val="t"/>
        <c:delete val="0"/>
        <c:numFmt formatCode="General" sourceLinked="1"/>
        <c:majorTickMark val="none"/>
        <c:minorTickMark val="none"/>
        <c:tickLblPos val="none"/>
        <c:spPr>
          <a:ln w="3175">
            <a:noFill/>
          </a:ln>
        </c:spPr>
        <c:crossAx val="49735480"/>
        <c:crossesAt val="1"/>
        <c:crossBetween val="between"/>
        <c:dispUnits/>
        <c:majorUnit val="1"/>
      </c:valAx>
      <c:valAx>
        <c:axId val="2042050"/>
        <c:scaling>
          <c:orientation val="minMax"/>
          <c:max val="1"/>
          <c:min val="0"/>
        </c:scaling>
        <c:axPos val="t"/>
        <c:delete val="0"/>
        <c:numFmt formatCode="General" sourceLinked="1"/>
        <c:majorTickMark val="none"/>
        <c:minorTickMark val="none"/>
        <c:tickLblPos val="none"/>
        <c:spPr>
          <a:ln w="3175">
            <a:noFill/>
          </a:ln>
        </c:spPr>
        <c:crossAx val="18378451"/>
        <c:crosses val="max"/>
        <c:crossBetween val="midCat"/>
        <c:dispUnits/>
        <c:majorUnit val="0.1"/>
        <c:minorUnit val="0.020000000000000004"/>
      </c:valAx>
      <c:valAx>
        <c:axId val="18378451"/>
        <c:scaling>
          <c:orientation val="maxMin"/>
          <c:max val="29"/>
          <c:min val="0"/>
        </c:scaling>
        <c:axPos val="l"/>
        <c:delete val="0"/>
        <c:numFmt formatCode="General" sourceLinked="1"/>
        <c:majorTickMark val="none"/>
        <c:minorTickMark val="none"/>
        <c:tickLblPos val="none"/>
        <c:spPr>
          <a:ln w="3175">
            <a:noFill/>
          </a:ln>
        </c:spPr>
        <c:crossAx val="204205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(K83032) ABBEY HOUSE MEDICAL PRACTICE, NORTHAMPTONSHIRE TEACHING PCT (5PD)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512</v>
      </c>
      <c r="Q3" s="65"/>
      <c r="R3" s="66"/>
      <c r="S3" s="66"/>
      <c r="T3" s="66"/>
      <c r="U3" s="66"/>
      <c r="V3" s="66"/>
      <c r="W3" s="66"/>
      <c r="X3" s="66"/>
      <c r="Y3" s="66"/>
      <c r="Z3" s="66"/>
      <c r="AA3" s="66"/>
      <c r="AB3" s="66"/>
      <c r="AC3" s="66"/>
    </row>
    <row r="4" spans="2:29" ht="18" customHeight="1">
      <c r="B4" s="319" t="s">
        <v>605</v>
      </c>
      <c r="C4" s="320"/>
      <c r="D4" s="320"/>
      <c r="E4" s="320"/>
      <c r="F4" s="320"/>
      <c r="G4" s="321"/>
      <c r="H4" s="112"/>
      <c r="I4" s="112"/>
      <c r="J4" s="112"/>
      <c r="K4" s="112"/>
      <c r="L4" s="113"/>
      <c r="M4" s="65"/>
      <c r="N4" s="65"/>
      <c r="O4" s="65"/>
      <c r="P4" s="134" t="s">
        <v>513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604</v>
      </c>
      <c r="C8" s="115"/>
      <c r="D8" s="115"/>
      <c r="E8" s="128">
        <f>VLOOKUP('Hide - Control'!A$3,'All practice data'!A:CA,4,FALSE)</f>
        <v>19187</v>
      </c>
      <c r="F8" s="310" t="str">
        <f>VLOOKUP('Hide - Control'!B4,'Hide - Calculation'!AY:BA,3,FALSE)</f>
        <v> </v>
      </c>
      <c r="G8" s="310"/>
      <c r="H8" s="310"/>
      <c r="I8" s="115"/>
      <c r="J8" s="115"/>
      <c r="K8" s="115"/>
      <c r="L8" s="115"/>
      <c r="M8" s="109"/>
      <c r="N8" s="314" t="s">
        <v>522</v>
      </c>
      <c r="O8" s="314"/>
      <c r="P8" s="314"/>
      <c r="Q8" s="314" t="s">
        <v>32</v>
      </c>
      <c r="R8" s="314"/>
      <c r="S8" s="314"/>
      <c r="T8" s="314" t="s">
        <v>608</v>
      </c>
      <c r="U8" s="314"/>
      <c r="V8" s="314" t="s">
        <v>33</v>
      </c>
      <c r="W8" s="314"/>
      <c r="X8" s="314"/>
      <c r="Y8" s="135"/>
      <c r="Z8" s="314" t="s">
        <v>515</v>
      </c>
      <c r="AA8" s="314"/>
      <c r="AB8" s="161"/>
      <c r="AC8" s="109"/>
    </row>
    <row r="9" spans="2:29" s="61" customFormat="1" ht="19.5" customHeight="1" thickBot="1">
      <c r="B9" s="114" t="s">
        <v>507</v>
      </c>
      <c r="C9" s="114"/>
      <c r="D9" s="114"/>
      <c r="E9" s="129">
        <f>VLOOKUP('Hide - Control'!B4,'Hide - Calculation'!AY:BB,4,FALSE)</f>
        <v>648340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485</v>
      </c>
      <c r="E11" s="317"/>
      <c r="F11" s="318"/>
      <c r="G11" s="263" t="s">
        <v>483</v>
      </c>
      <c r="H11" s="255" t="s">
        <v>484</v>
      </c>
      <c r="I11" s="255" t="s">
        <v>495</v>
      </c>
      <c r="J11" s="255" t="s">
        <v>496</v>
      </c>
      <c r="K11" s="255" t="s">
        <v>367</v>
      </c>
      <c r="L11" s="256" t="s">
        <v>409</v>
      </c>
      <c r="M11" s="257" t="s">
        <v>505</v>
      </c>
      <c r="N11" s="334" t="s">
        <v>503</v>
      </c>
      <c r="O11" s="334"/>
      <c r="P11" s="334"/>
      <c r="Q11" s="334"/>
      <c r="R11" s="334"/>
      <c r="S11" s="334"/>
      <c r="T11" s="334"/>
      <c r="U11" s="334"/>
      <c r="V11" s="334"/>
      <c r="W11" s="334"/>
      <c r="X11" s="334"/>
      <c r="Y11" s="334"/>
      <c r="Z11" s="334"/>
      <c r="AA11" s="258" t="s">
        <v>506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365</v>
      </c>
      <c r="C13" s="163">
        <v>1</v>
      </c>
      <c r="D13" s="312" t="s">
        <v>361</v>
      </c>
      <c r="E13" s="313"/>
      <c r="F13" s="313"/>
      <c r="G13" s="166">
        <f>IF(VLOOKUP('Hide - Control'!A$3,'All practice data'!A:CA,C13+4,FALSE)=" "," ",VLOOKUP('Hide - Control'!A$3,'All practice data'!A:CA,C13+4,FALSE))</f>
        <v>2600</v>
      </c>
      <c r="H13" s="190">
        <f>IF(VLOOKUP('Hide - Control'!A$3,'All practice data'!A:CA,C13+30,FALSE)=" "," ",VLOOKUP('Hide - Control'!A$3,'All practice data'!A:CA,C13+30,FALSE))</f>
        <v>0.13550841715745035</v>
      </c>
      <c r="I13" s="191">
        <f>IF(LEFT(G13,1)=" "," n/a",+((2*G13+1.96^2-1.96*SQRT(1.96^2+4*G13*(1-G13/E$8)))/(2*(E$8+1.96^2))))</f>
        <v>0.1307382980854246</v>
      </c>
      <c r="J13" s="191">
        <f>IF(LEFT(G13,1)=" "," n/a",+((2*G13+1.96^2+1.96*SQRT(1.96^2+4*G13*(1-G13/E$8)))/(2*(E$8+1.96^2))))</f>
        <v>0.140424463218384</v>
      </c>
      <c r="K13" s="190">
        <f>IF('Hide - Calculation'!N7="","",'Hide - Calculation'!N7)</f>
        <v>0.15113983403769626</v>
      </c>
      <c r="L13" s="192">
        <f>'Hide - Calculation'!O7</f>
        <v>0.1599882305185145</v>
      </c>
      <c r="M13" s="208">
        <f>IF(ISBLANK('Hide - Calculation'!K7),"",'Hide - Calculation'!U7)</f>
        <v>0.017847079783678055</v>
      </c>
      <c r="N13" s="173"/>
      <c r="O13" s="173"/>
      <c r="P13" s="173"/>
      <c r="Q13" s="173"/>
      <c r="R13" s="173"/>
      <c r="S13" s="173"/>
      <c r="T13" s="173"/>
      <c r="U13" s="173"/>
      <c r="V13" s="173"/>
      <c r="W13" s="173"/>
      <c r="X13" s="173"/>
      <c r="Y13" s="173"/>
      <c r="Z13" s="173"/>
      <c r="AA13" s="226">
        <f>IF(ISBLANK('Hide - Calculation'!K7),"",'Hide - Calculation'!T7)</f>
        <v>0.22253748774528503</v>
      </c>
      <c r="AB13" s="233" t="s">
        <v>602</v>
      </c>
      <c r="AC13" s="209" t="s">
        <v>603</v>
      </c>
    </row>
    <row r="14" spans="2:29" ht="33.75" customHeight="1">
      <c r="B14" s="306"/>
      <c r="C14" s="137">
        <v>2</v>
      </c>
      <c r="D14" s="132" t="s">
        <v>516</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0.10565047431646012</v>
      </c>
      <c r="J14" s="120">
        <f>IF(LEFT(G14,1)=" "," n/a",+((2*H14*E8+1.96^2+1.96*SQRT(1.96^2+4*H14*E8*(1-H14*E8/E$8)))/(2*(E$8+1.96^2))))</f>
        <v>0.11450566516207114</v>
      </c>
      <c r="K14" s="119">
        <f>IF('Hide - Calculation'!N8="","",'Hide - Calculation'!N8)</f>
        <v>0.11490807292469998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0.28999999165534973</v>
      </c>
      <c r="AB14" s="234" t="s">
        <v>39</v>
      </c>
      <c r="AC14" s="130" t="s">
        <v>603</v>
      </c>
    </row>
    <row r="15" spans="2:39" s="63" customFormat="1" ht="33.75" customHeight="1">
      <c r="B15" s="306"/>
      <c r="C15" s="137">
        <v>3</v>
      </c>
      <c r="D15" s="132" t="s">
        <v>370</v>
      </c>
      <c r="E15" s="85"/>
      <c r="F15" s="85"/>
      <c r="G15" s="121">
        <f>IF(VLOOKUP('Hide - Control'!A$3,'All practice data'!A:CA,C15+4,FALSE)=" "," ",VLOOKUP('Hide - Control'!A$3,'All practice data'!A:CA,C15+4,FALSE))</f>
        <v>81</v>
      </c>
      <c r="H15" s="122">
        <f>IF(VLOOKUP('Hide - Control'!A$3,'All practice data'!A:CA,C15+30,FALSE)=" "," ",VLOOKUP('Hide - Control'!A$3,'All practice data'!A:CA,C15+30,FALSE))</f>
        <v>422.1608380674415</v>
      </c>
      <c r="I15" s="123">
        <f>IF(LEFT(G15,1)=" "," n/a",IF(G15&lt;5,100000*VLOOKUP(G15,'Hide - Calculation'!AQ:AR,2,FALSE)/$E$8,100000*(G15*(1-1/(9*G15)-1.96/(3*SQRT(G15)))^3)/$E$8))</f>
        <v>335.2440537910889</v>
      </c>
      <c r="J15" s="123">
        <f>IF(LEFT(G15,1)=" "," n/a",IF(G15&lt;5,100000*VLOOKUP(G15,'Hide - Calculation'!AQ:AS,3,FALSE)/$E$8,100000*((G15+1)*(1-1/(9*(G15+1))+1.96/(3*SQRT(G15+1)))^3)/$E$8))</f>
        <v>524.7156978604196</v>
      </c>
      <c r="K15" s="122">
        <f>IF('Hide - Calculation'!N9="","",'Hide - Calculation'!N9)</f>
        <v>427.09072400283804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770.1661987304688</v>
      </c>
      <c r="AB15" s="234" t="s">
        <v>486</v>
      </c>
      <c r="AC15" s="131">
        <v>2009</v>
      </c>
      <c r="AD15" s="64"/>
      <c r="AE15" s="64"/>
      <c r="AF15" s="64"/>
      <c r="AG15" s="64"/>
      <c r="AH15" s="64"/>
      <c r="AI15" s="64"/>
      <c r="AJ15" s="64"/>
      <c r="AK15" s="64"/>
      <c r="AL15" s="64"/>
      <c r="AM15" s="64"/>
    </row>
    <row r="16" spans="2:29" s="63" customFormat="1" ht="33.75" customHeight="1">
      <c r="B16" s="306"/>
      <c r="C16" s="137">
        <v>4</v>
      </c>
      <c r="D16" s="132" t="s">
        <v>508</v>
      </c>
      <c r="E16" s="85"/>
      <c r="F16" s="85"/>
      <c r="G16" s="121">
        <f>IF(VLOOKUP('Hide - Control'!A$3,'All practice data'!A:CA,C16+4,FALSE)=" "," ",VLOOKUP('Hide - Control'!A$3,'All practice data'!A:CA,C16+4,FALSE))</f>
        <v>32</v>
      </c>
      <c r="H16" s="122">
        <f>IF(VLOOKUP('Hide - Control'!A$3,'All practice data'!A:CA,C16+30,FALSE)=" "," ",VLOOKUP('Hide - Control'!A$3,'All practice data'!A:CA,C16+30,FALSE))</f>
        <v>166.7795903476312</v>
      </c>
      <c r="I16" s="123">
        <f>IF(LEFT(G16,1)=" "," n/a",IF(G16&lt;5,100000*VLOOKUP(G16,'Hide - Calculation'!AQ:AR,2,FALSE)/$E$8,100000*(G16*(1-1/(9*G16)-1.96/(3*SQRT(G16)))^3)/$E$8))</f>
        <v>114.05659989740563</v>
      </c>
      <c r="J16" s="123">
        <f>IF(LEFT(G16,1)=" "," n/a",IF(G16&lt;5,100000*VLOOKUP(G16,'Hide - Calculation'!AQ:AS,3,FALSE)/$E$8,100000*((G16+1)*(1-1/(9*(G16+1))+1.96/(3*SQRT(G16+1)))^3)/$E$8))</f>
        <v>235.45215400144372</v>
      </c>
      <c r="K16" s="122">
        <f>IF('Hide - Calculation'!N10="","",'Hide - Calculation'!N10)</f>
        <v>223.03112564395224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405.3506164550781</v>
      </c>
      <c r="AB16" s="234" t="s">
        <v>364</v>
      </c>
      <c r="AC16" s="131" t="s">
        <v>540</v>
      </c>
    </row>
    <row r="17" spans="2:29" s="63" customFormat="1" ht="33.75" customHeight="1" thickBot="1">
      <c r="B17" s="309"/>
      <c r="C17" s="180">
        <v>5</v>
      </c>
      <c r="D17" s="195" t="s">
        <v>369</v>
      </c>
      <c r="E17" s="182"/>
      <c r="F17" s="182"/>
      <c r="G17" s="140">
        <f>IF(VLOOKUP('Hide - Control'!A$3,'All practice data'!A:CA,C17+4,FALSE)=" "," ",VLOOKUP('Hide - Control'!A$3,'All practice data'!A:CA,C17+4,FALSE))</f>
        <v>244</v>
      </c>
      <c r="H17" s="141">
        <f>IF(VLOOKUP('Hide - Control'!A$3,'All practice data'!A:CA,C17+30,FALSE)=" "," ",VLOOKUP('Hide - Control'!A$3,'All practice data'!A:CA,C17+30,FALSE))</f>
        <v>0.013000000000000001</v>
      </c>
      <c r="I17" s="142">
        <f>IF(LEFT(G17,1)=" "," n/a",+((2*G17+1.96^2-1.96*SQRT(1.96^2+4*G17*(1-G17/E$8)))/(2*(E$8+1.96^2))))</f>
        <v>0.011226153631490968</v>
      </c>
      <c r="J17" s="142">
        <f>IF(LEFT(G17,1)=" "," n/a",+((2*G17+1.96^2+1.96*SQRT(1.96^2+4*G17*(1-G17/E$8)))/(2*(E$8+1.96^2))))</f>
        <v>0.014402821389594088</v>
      </c>
      <c r="K17" s="141">
        <f>IF('Hide - Calculation'!N11="","",'Hide - Calculation'!N11)</f>
        <v>0.01622296942962026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0.02800000086426735</v>
      </c>
      <c r="AB17" s="235" t="s">
        <v>509</v>
      </c>
      <c r="AC17" s="189" t="s">
        <v>540</v>
      </c>
    </row>
    <row r="18" spans="2:29" s="63" customFormat="1" ht="33.75" customHeight="1">
      <c r="B18" s="308" t="s">
        <v>13</v>
      </c>
      <c r="C18" s="163">
        <v>6</v>
      </c>
      <c r="D18" s="164" t="s">
        <v>517</v>
      </c>
      <c r="E18" s="165"/>
      <c r="F18" s="165"/>
      <c r="G18" s="219">
        <f>IF(OR(VLOOKUP('Hide - Control'!A$3,'All practice data'!A:CA,C18+4,FALSE)=" ",VLOOKUP('Hide - Control'!A$3,'All practice data'!A:CA,C18+52,FALSE)=0)," n/a",VLOOKUP('Hide - Control'!A$3,'All practice data'!A:CA,C18+4,FALSE))</f>
        <v>1691</v>
      </c>
      <c r="H18" s="220">
        <f>IF(OR(VLOOKUP('Hide - Control'!A$3,'All practice data'!A:CA,C18+30,FALSE)=" ",VLOOKUP('Hide - Control'!A$3,'All practice data'!A:CA,C18+52,FALSE)=0)," n/a",VLOOKUP('Hide - Control'!A$3,'All practice data'!A:CA,C18+30,FALSE))</f>
        <v>0.760684</v>
      </c>
      <c r="I18" s="191">
        <f>IF(OR(LEFT(H18,1)=" ",VLOOKUP('Hide - Control'!A$3,'All practice data'!A:CA,C18+52,FALSE)=0)," n/a",+((2*G18+1.96^2-1.96*SQRT(1.96^2+4*G18*(1-G18/(VLOOKUP('Hide - Control'!A$3,'All practice data'!A:CA,C18+52,FALSE)))))/(2*(((VLOOKUP('Hide - Control'!A$3,'All practice data'!A:CA,C18+52,FALSE)))+1.96^2))))</f>
        <v>0.7425068783115695</v>
      </c>
      <c r="J18" s="191">
        <f>IF(OR(LEFT(H18,1)=" ",VLOOKUP('Hide - Control'!A$3,'All practice data'!A:CA,C18+52,FALSE)=0)," n/a",+((2*G18+1.96^2+1.96*SQRT(1.96^2+4*G18*(1-G18/(VLOOKUP('Hide - Control'!A$3,'All practice data'!A:CA,C18+52,FALSE)))))/(2*((VLOOKUP('Hide - Control'!A$3,'All practice data'!A:CA,C18+52,FALSE))+1.96^2))))</f>
        <v>0.7779612142550504</v>
      </c>
      <c r="K18" s="220">
        <f>IF('Hide - Calculation'!N12="","",'Hide - Calculation'!N12)</f>
        <v>0.7673611111111112</v>
      </c>
      <c r="L18" s="192">
        <f>'Hide - Calculation'!O12</f>
        <v>0.7248631360507991</v>
      </c>
      <c r="M18" s="193">
        <f>IF(ISBLANK('Hide - Calculation'!K12),"",'Hide - Calculation'!U12)</f>
        <v>0.43030300736427307</v>
      </c>
      <c r="N18" s="194"/>
      <c r="O18" s="173"/>
      <c r="P18" s="173"/>
      <c r="Q18" s="173"/>
      <c r="R18" s="173"/>
      <c r="S18" s="173"/>
      <c r="T18" s="173"/>
      <c r="U18" s="173"/>
      <c r="V18" s="173"/>
      <c r="W18" s="173"/>
      <c r="X18" s="173"/>
      <c r="Y18" s="173"/>
      <c r="Z18" s="174"/>
      <c r="AA18" s="193">
        <f>IF(ISBLANK('Hide - Calculation'!K12),"",'Hide - Calculation'!T12)</f>
        <v>0.8627679944038391</v>
      </c>
      <c r="AB18" s="233" t="s">
        <v>48</v>
      </c>
      <c r="AC18" s="175" t="s">
        <v>541</v>
      </c>
    </row>
    <row r="19" spans="2:29" s="63" customFormat="1" ht="33.75" customHeight="1">
      <c r="B19" s="306"/>
      <c r="C19" s="137">
        <v>7</v>
      </c>
      <c r="D19" s="132" t="s">
        <v>518</v>
      </c>
      <c r="E19" s="85"/>
      <c r="F19" s="85"/>
      <c r="G19" s="221">
        <f>IF(OR(VLOOKUP('Hide - Control'!A$3,'All practice data'!A:CA,C19+4,FALSE)=" ",VLOOKUP('Hide - Control'!A$3,'All practice data'!A:CA,C19+52,FALSE)=0)," n/a",VLOOKUP('Hide - Control'!A$3,'All practice data'!A:CA,C19+4,FALSE))</f>
        <v>20</v>
      </c>
      <c r="H19" s="218">
        <f>IF(OR(VLOOKUP('Hide - Control'!A$3,'All practice data'!A:CA,C19+30,FALSE)=" ",VLOOKUP('Hide - Control'!A$3,'All practice data'!A:CA,C19+52,FALSE)=0)," n/a",VLOOKUP('Hide - Control'!A$3,'All practice data'!A:CA,C19+30,FALSE))</f>
        <v>0.465116</v>
      </c>
      <c r="I19" s="120">
        <f>IF(OR(LEFT(H19,1)=" ",VLOOKUP('Hide - Control'!A$3,'All practice data'!A:CA,C19+52,FALSE)=0)," n/a",+((2*G19+1.96^2-1.96*SQRT(1.96^2+4*G19*(1-G19/(VLOOKUP('Hide - Control'!A$3,'All practice data'!A:CA,C19+52,FALSE)))))/(2*(((VLOOKUP('Hide - Control'!A$3,'All practice data'!A:CA,C19+52,FALSE)))+1.96^2))))</f>
        <v>0.3251082626391855</v>
      </c>
      <c r="J19" s="120">
        <f>IF(OR(LEFT(H19,1)=" ",VLOOKUP('Hide - Control'!A$3,'All practice data'!A:CA,C19+52,FALSE)=0)," n/a",+((2*G19+1.96^2+1.96*SQRT(1.96^2+4*G19*(1-G19/(VLOOKUP('Hide - Control'!A$3,'All practice data'!A:CA,C19+52,FALSE)))))/(2*((VLOOKUP('Hide - Control'!A$3,'All practice data'!A:CA,C19+52,FALSE))+1.96^2))))</f>
        <v>0.6108461027112722</v>
      </c>
      <c r="K19" s="218">
        <f>IF('Hide - Calculation'!N13="","",'Hide - Calculation'!N13)</f>
        <v>0.7961895114158809</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1</v>
      </c>
      <c r="AB19" s="234" t="s">
        <v>48</v>
      </c>
      <c r="AC19" s="131" t="s">
        <v>540</v>
      </c>
    </row>
    <row r="20" spans="2:29" s="63" customFormat="1" ht="33.75" customHeight="1">
      <c r="B20" s="306"/>
      <c r="C20" s="137">
        <v>8</v>
      </c>
      <c r="D20" s="132" t="s">
        <v>519</v>
      </c>
      <c r="E20" s="85"/>
      <c r="F20" s="85"/>
      <c r="G20" s="221">
        <f>IF(OR(VLOOKUP('Hide - Control'!A$3,'All practice data'!A:CA,C20+4,FALSE)=" ",VLOOKUP('Hide - Control'!A$3,'All practice data'!A:CA,C20+52,FALSE)=0)," n/a",VLOOKUP('Hide - Control'!A$3,'All practice data'!A:CA,C20+4,FALSE))</f>
        <v>3500</v>
      </c>
      <c r="H20" s="218">
        <f>IF(OR(VLOOKUP('Hide - Control'!A$3,'All practice data'!A:CA,C20+30,FALSE)=" ",VLOOKUP('Hide - Control'!A$3,'All practice data'!A:CA,C20+52,FALSE)=0)," n/a",VLOOKUP('Hide - Control'!A$3,'All practice data'!A:CA,C20+30,FALSE))</f>
        <v>0.760043</v>
      </c>
      <c r="I20" s="120">
        <f>IF(OR(LEFT(H20,1)=" ",VLOOKUP('Hide - Control'!A$3,'All practice data'!A:CA,C20+52,FALSE)=0)," n/a",+((2*G20+1.96^2-1.96*SQRT(1.96^2+4*G20*(1-G20/(VLOOKUP('Hide - Control'!A$3,'All practice data'!A:CA,C20+52,FALSE)))))/(2*(((VLOOKUP('Hide - Control'!A$3,'All practice data'!A:CA,C20+52,FALSE)))+1.96^2))))</f>
        <v>0.7474952654959993</v>
      </c>
      <c r="J20" s="120">
        <f>IF(OR(LEFT(H20,1)=" ",VLOOKUP('Hide - Control'!A$3,'All practice data'!A:CA,C20+52,FALSE)=0)," n/a",+((2*G20+1.96^2+1.96*SQRT(1.96^2+4*G20*(1-G20/(VLOOKUP('Hide - Control'!A$3,'All practice data'!A:CA,C20+52,FALSE)))))/(2*((VLOOKUP('Hide - Control'!A$3,'All practice data'!A:CA,C20+52,FALSE))+1.96^2))))</f>
        <v>0.7721580894815291</v>
      </c>
      <c r="K20" s="218">
        <f>IF('Hide - Calculation'!N14="","",'Hide - Calculation'!N14)</f>
        <v>0.7659943271352033</v>
      </c>
      <c r="L20" s="155">
        <f>'Hide - Calculation'!O14</f>
        <v>0.7559681673907895</v>
      </c>
      <c r="M20" s="152">
        <f>IF(ISBLANK('Hide - Calculation'!K14),"",'Hide - Calculation'!U14)</f>
        <v>0.5764260292053223</v>
      </c>
      <c r="N20" s="160"/>
      <c r="O20" s="84"/>
      <c r="P20" s="84"/>
      <c r="Q20" s="84"/>
      <c r="R20" s="84"/>
      <c r="S20" s="84"/>
      <c r="T20" s="84"/>
      <c r="U20" s="84"/>
      <c r="V20" s="84"/>
      <c r="W20" s="84"/>
      <c r="X20" s="84"/>
      <c r="Y20" s="84"/>
      <c r="Z20" s="88"/>
      <c r="AA20" s="152">
        <f>IF(ISBLANK('Hide - Calculation'!K14),"",'Hide - Calculation'!T14)</f>
        <v>0.8635290265083313</v>
      </c>
      <c r="AB20" s="234" t="s">
        <v>48</v>
      </c>
      <c r="AC20" s="131" t="s">
        <v>542</v>
      </c>
    </row>
    <row r="21" spans="2:29" s="63" customFormat="1" ht="33.75" customHeight="1">
      <c r="B21" s="306"/>
      <c r="C21" s="137">
        <v>9</v>
      </c>
      <c r="D21" s="132" t="s">
        <v>520</v>
      </c>
      <c r="E21" s="85"/>
      <c r="F21" s="85"/>
      <c r="G21" s="221">
        <f>IF(OR(VLOOKUP('Hide - Control'!A$3,'All practice data'!A:CA,C21+4,FALSE)=" ",VLOOKUP('Hide - Control'!A$3,'All practice data'!A:CA,C21+52,FALSE)=0)," n/a",VLOOKUP('Hide - Control'!A$3,'All practice data'!A:CA,C21+4,FALSE))</f>
        <v>1243</v>
      </c>
      <c r="H21" s="218">
        <f>IF(OR(VLOOKUP('Hide - Control'!A$3,'All practice data'!A:CA,C21+30,FALSE)=" ",VLOOKUP('Hide - Control'!A$3,'All practice data'!A:CA,C21+52,FALSE)=0)," n/a",VLOOKUP('Hide - Control'!A$3,'All practice data'!A:CA,C21+30,FALSE))</f>
        <v>0.595307</v>
      </c>
      <c r="I21" s="120">
        <f>IF(OR(LEFT(H21,1)=" ",VLOOKUP('Hide - Control'!A$3,'All practice data'!A:CA,C21+52,FALSE)=0)," n/a",+((2*G21+1.96^2-1.96*SQRT(1.96^2+4*G21*(1-G21/(VLOOKUP('Hide - Control'!A$3,'All practice data'!A:CA,C21+52,FALSE)))))/(2*(((VLOOKUP('Hide - Control'!A$3,'All practice data'!A:CA,C21+52,FALSE)))+1.96^2))))</f>
        <v>0.5740966014921561</v>
      </c>
      <c r="J21" s="120">
        <f>IF(OR(LEFT(H21,1)=" ",VLOOKUP('Hide - Control'!A$3,'All practice data'!A:CA,C21+52,FALSE)=0)," n/a",+((2*G21+1.96^2+1.96*SQRT(1.96^2+4*G21*(1-G21/(VLOOKUP('Hide - Control'!A$3,'All practice data'!A:CA,C21+52,FALSE)))))/(2*((VLOOKUP('Hide - Control'!A$3,'All practice data'!A:CA,C21+52,FALSE))+1.96^2))))</f>
        <v>0.6161663706181604</v>
      </c>
      <c r="K21" s="218">
        <f>IF('Hide - Calculation'!N15="","",'Hide - Calculation'!N15)</f>
        <v>0.5719200592982112</v>
      </c>
      <c r="L21" s="155">
        <f>'Hide - Calculation'!O15</f>
        <v>0.5147293797466616</v>
      </c>
      <c r="M21" s="152">
        <f>IF(ISBLANK('Hide - Calculation'!K15),"",'Hide - Calculation'!U15)</f>
        <v>0.31355899572372437</v>
      </c>
      <c r="N21" s="160"/>
      <c r="O21" s="84"/>
      <c r="P21" s="84"/>
      <c r="Q21" s="84"/>
      <c r="R21" s="84"/>
      <c r="S21" s="84"/>
      <c r="T21" s="84"/>
      <c r="U21" s="84"/>
      <c r="V21" s="84"/>
      <c r="W21" s="84"/>
      <c r="X21" s="84"/>
      <c r="Y21" s="84"/>
      <c r="Z21" s="88"/>
      <c r="AA21" s="152">
        <f>IF(ISBLANK('Hide - Calculation'!K15),"",'Hide - Calculation'!T15)</f>
        <v>0.6673790216445923</v>
      </c>
      <c r="AB21" s="234" t="s">
        <v>48</v>
      </c>
      <c r="AC21" s="131" t="s">
        <v>541</v>
      </c>
    </row>
    <row r="22" spans="2:29" s="63" customFormat="1" ht="33.75" customHeight="1" thickBot="1">
      <c r="B22" s="309"/>
      <c r="C22" s="180">
        <v>10</v>
      </c>
      <c r="D22" s="195" t="s">
        <v>521</v>
      </c>
      <c r="E22" s="182"/>
      <c r="F22" s="182"/>
      <c r="G22" s="222">
        <f>IF(OR(VLOOKUP('Hide - Control'!A$3,'All practice data'!A:CA,C22+4,FALSE)=" ",VLOOKUP('Hide - Control'!A$3,'All practice data'!A:CA,C22+52,FALSE)=0)," n/a",VLOOKUP('Hide - Control'!A$3,'All practice data'!A:CA,C22+4,FALSE))</f>
        <v>608</v>
      </c>
      <c r="H22" s="223">
        <f>IF(OR(VLOOKUP('Hide - Control'!A$3,'All practice data'!A:CA,C22+30,FALSE)=" ",VLOOKUP('Hide - Control'!A$3,'All practice data'!A:CA,C22+52,FALSE)=0)," n/a",VLOOKUP('Hide - Control'!A$3,'All practice data'!A:CA,C22+30,FALSE))</f>
        <v>0.604374</v>
      </c>
      <c r="I22" s="196">
        <f>IF(OR(LEFT(H22,1)=" ",VLOOKUP('Hide - Control'!A$3,'All practice data'!A:CA,C22+52,FALSE)=0)," n/a",+((2*G22+1.96^2-1.96*SQRT(1.96^2+4*G22*(1-G22/(VLOOKUP('Hide - Control'!A$3,'All practice data'!A:CA,C22+52,FALSE)))))/(2*(((VLOOKUP('Hide - Control'!A$3,'All practice data'!A:CA,C22+52,FALSE)))+1.96^2))))</f>
        <v>0.573814544190822</v>
      </c>
      <c r="J22" s="196">
        <f>IF(OR(LEFT(H22,1)=" ",VLOOKUP('Hide - Control'!A$3,'All practice data'!A:CA,C22+52,FALSE)=0)," n/a",+((2*G22+1.96^2+1.96*SQRT(1.96^2+4*G22*(1-G22/(VLOOKUP('Hide - Control'!A$3,'All practice data'!A:CA,C22+52,FALSE)))))/(2*((VLOOKUP('Hide - Control'!A$3,'All practice data'!A:CA,C22+52,FALSE))+1.96^2))))</f>
        <v>0.6341388615710322</v>
      </c>
      <c r="K22" s="223">
        <f>IF('Hide - Calculation'!N16="","",'Hide - Calculation'!N16)</f>
        <v>0.5871380155952939</v>
      </c>
      <c r="L22" s="197">
        <f>'Hide - Calculation'!O16</f>
        <v>0.5752927626212945</v>
      </c>
      <c r="M22" s="198">
        <f>IF(ISBLANK('Hide - Calculation'!K16),"",'Hide - Calculation'!U16)</f>
        <v>0.30000001192092896</v>
      </c>
      <c r="N22" s="199"/>
      <c r="O22" s="91"/>
      <c r="P22" s="91"/>
      <c r="Q22" s="91"/>
      <c r="R22" s="91"/>
      <c r="S22" s="91"/>
      <c r="T22" s="91"/>
      <c r="U22" s="91"/>
      <c r="V22" s="91"/>
      <c r="W22" s="91"/>
      <c r="X22" s="91"/>
      <c r="Y22" s="91"/>
      <c r="Z22" s="188"/>
      <c r="AA22" s="198">
        <f>IF(ISBLANK('Hide - Calculation'!K16),"",'Hide - Calculation'!T16)</f>
        <v>0.6785709857940674</v>
      </c>
      <c r="AB22" s="235" t="s">
        <v>48</v>
      </c>
      <c r="AC22" s="189" t="s">
        <v>540</v>
      </c>
    </row>
    <row r="23" spans="2:29" s="63" customFormat="1" ht="33.75" customHeight="1">
      <c r="B23" s="308" t="s">
        <v>359</v>
      </c>
      <c r="C23" s="163">
        <v>11</v>
      </c>
      <c r="D23" s="179" t="s">
        <v>371</v>
      </c>
      <c r="E23" s="165"/>
      <c r="F23" s="165"/>
      <c r="G23" s="118">
        <f>IF(VLOOKUP('Hide - Control'!A$3,'All practice data'!A:CA,C23+4,FALSE)=" "," ",VLOOKUP('Hide - Control'!A$3,'All practice data'!A:CA,C23+4,FALSE))</f>
        <v>240</v>
      </c>
      <c r="H23" s="216">
        <f>IF(VLOOKUP('Hide - Control'!A$3,'All practice data'!A:CA,C23+30,FALSE)=" "," ",VLOOKUP('Hide - Control'!A$3,'All practice data'!A:CA,C23+30,FALSE))</f>
        <v>1250.846927607234</v>
      </c>
      <c r="I23" s="215">
        <f>IF(LEFT(G23,1)=" "," n/a",IF(G23&lt;5,100000*VLOOKUP(G23,'Hide - Calculation'!AQ:AR,2,FALSE)/$E$8,100000*(G23*(1-1/(9*G23)-1.96/(3*SQRT(G23)))^3)/$E$8))</f>
        <v>1097.58002509224</v>
      </c>
      <c r="J23" s="215">
        <f>IF(LEFT(G23,1)=" "," n/a",IF(G23&lt;5,100000*VLOOKUP(G23,'Hide - Calculation'!AQ:AS,3,FALSE)/$E$8,100000*((G23+1)*(1-1/(9*(G23+1))+1.96/(3*SQRT(G23+1)))^3)/$E$8))</f>
        <v>1419.523944627117</v>
      </c>
      <c r="K23" s="216">
        <f>IF('Hide - Calculation'!N17="","",'Hide - Calculation'!N17)</f>
        <v>1792.5779683499397</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3793.559814453125</v>
      </c>
      <c r="AB23" s="233" t="s">
        <v>26</v>
      </c>
      <c r="AC23" s="175" t="s">
        <v>540</v>
      </c>
    </row>
    <row r="24" spans="2:29" s="63" customFormat="1" ht="33.75" customHeight="1">
      <c r="B24" s="306"/>
      <c r="C24" s="137">
        <v>12</v>
      </c>
      <c r="D24" s="147" t="s">
        <v>527</v>
      </c>
      <c r="E24" s="85"/>
      <c r="F24" s="85"/>
      <c r="G24" s="118">
        <f>IF(VLOOKUP('Hide - Control'!A$3,'All practice data'!A:CA,C24+4,FALSE)=" "," ",VLOOKUP('Hide - Control'!A$3,'All practice data'!A:CA,C24+4,FALSE))</f>
        <v>240</v>
      </c>
      <c r="H24" s="119">
        <f>IF(VLOOKUP('Hide - Control'!A$3,'All practice data'!A:CA,C24+30,FALSE)=" "," ",VLOOKUP('Hide - Control'!A$3,'All practice data'!A:CA,C24+30,FALSE))</f>
        <v>0.7295329285</v>
      </c>
      <c r="I24" s="212">
        <f>IF(LEFT(VLOOKUP('Hide - Control'!A$3,'All practice data'!A:CA,C24+44,FALSE),1)=" "," n/a",VLOOKUP('Hide - Control'!A$3,'All practice data'!A:CA,C24+44,FALSE))</f>
        <v>0.6401478577</v>
      </c>
      <c r="J24" s="212">
        <f>IF(LEFT(VLOOKUP('Hide - Control'!A$3,'All practice data'!A:CA,C24+45,FALSE),1)=" "," n/a",VLOOKUP('Hide - Control'!A$3,'All practice data'!A:CA,C24+45,FALSE))</f>
        <v>0.8279062653</v>
      </c>
      <c r="K24" s="152" t="s">
        <v>607</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1.8657972812652588</v>
      </c>
      <c r="AB24" s="234" t="s">
        <v>26</v>
      </c>
      <c r="AC24" s="131" t="s">
        <v>540</v>
      </c>
    </row>
    <row r="25" spans="2:29" s="63" customFormat="1" ht="33.75" customHeight="1">
      <c r="B25" s="306"/>
      <c r="C25" s="137">
        <v>13</v>
      </c>
      <c r="D25" s="147" t="s">
        <v>366</v>
      </c>
      <c r="E25" s="85"/>
      <c r="F25" s="85"/>
      <c r="G25" s="118">
        <f>IF(VLOOKUP('Hide - Control'!A$3,'All practice data'!A:CA,C25+4,FALSE)=" "," ",VLOOKUP('Hide - Control'!A$3,'All practice data'!A:CA,C25+4,FALSE))</f>
        <v>28</v>
      </c>
      <c r="H25" s="119">
        <f>IF(VLOOKUP('Hide - Control'!A$3,'All practice data'!A:CA,C25+30,FALSE)=" "," ",VLOOKUP('Hide - Control'!A$3,'All practice data'!A:CA,C25+30,FALSE))</f>
        <v>0.11666666666666667</v>
      </c>
      <c r="I25" s="120">
        <f>IF(LEFT(G25,1)=" "," n/a",IF(G25=0," n/a",+((2*G25+1.96^2-1.96*SQRT(1.96^2+4*G25*(1-G25/G23)))/(2*(G23+1.96^2)))))</f>
        <v>0.08196205521476753</v>
      </c>
      <c r="J25" s="120">
        <f>IF(LEFT(G25,1)=" "," n/a",IF(G25=0," n/a",+((2*G25+1.96^2+1.96*SQRT(1.96^2+4*G25*(1-G25/G23)))/(2*(G23+1.96^2)))))</f>
        <v>0.1634497202985165</v>
      </c>
      <c r="K25" s="125">
        <f>IF('Hide - Calculation'!N19="","",'Hide - Calculation'!N19)</f>
        <v>0.10230597143348821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0.25999999046325684</v>
      </c>
      <c r="AB25" s="234" t="s">
        <v>26</v>
      </c>
      <c r="AC25" s="131" t="s">
        <v>540</v>
      </c>
    </row>
    <row r="26" spans="2:29" s="63" customFormat="1" ht="33.75" customHeight="1">
      <c r="B26" s="306"/>
      <c r="C26" s="137">
        <v>14</v>
      </c>
      <c r="D26" s="147" t="s">
        <v>510</v>
      </c>
      <c r="E26" s="85"/>
      <c r="F26" s="85"/>
      <c r="G26" s="121">
        <f>IF(VLOOKUP('Hide - Control'!A$3,'All practice data'!A:CA,C26+4,FALSE)=" "," ",VLOOKUP('Hide - Control'!A$3,'All practice data'!A:CA,C26+4,FALSE))</f>
        <v>66</v>
      </c>
      <c r="H26" s="119">
        <f>IF(VLOOKUP('Hide - Control'!A$3,'All practice data'!A:CA,C26+30,FALSE)=" "," ",VLOOKUP('Hide - Control'!A$3,'All practice data'!A:CA,C26+30,FALSE))</f>
        <v>0.42424242424242425</v>
      </c>
      <c r="I26" s="120">
        <f>IF(OR(LEFT(G26,1)=" ",LEFT(G25,1)=" ")," n/a",IF(G26=0," n/a",+((2*G25+1.96^2-1.96*SQRT(1.96^2+4*G25*(1-G25/G26)))/(2*(G26+1.96^2)))))</f>
        <v>0.31242322955377905</v>
      </c>
      <c r="J26" s="120">
        <f>IF(OR(LEFT(G26,1)=" ",LEFT(G25,1)=" ")," n/a",IF(G26=0," n/a",+((2*G25+1.96^2+1.96*SQRT(1.96^2+4*G25*(1-G25/G26)))/(2*(G26+1.96^2)))))</f>
        <v>0.5443956291207072</v>
      </c>
      <c r="K26" s="125">
        <f>IF('Hide - Calculation'!N20="","",'Hide - Calculation'!N20)</f>
        <v>0.44800301431801054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0.6969696879386902</v>
      </c>
      <c r="AB26" s="234" t="s">
        <v>26</v>
      </c>
      <c r="AC26" s="131" t="s">
        <v>540</v>
      </c>
    </row>
    <row r="27" spans="2:29" s="63" customFormat="1" ht="33.75" customHeight="1">
      <c r="B27" s="306"/>
      <c r="C27" s="137">
        <v>15</v>
      </c>
      <c r="D27" s="147" t="s">
        <v>497</v>
      </c>
      <c r="E27" s="85"/>
      <c r="F27" s="85"/>
      <c r="G27" s="121">
        <f>IF(VLOOKUP('Hide - Control'!A$3,'All practice data'!A:CA,C27+4,FALSE)=" "," ",VLOOKUP('Hide - Control'!A$3,'All practice data'!A:CA,C27+4,FALSE))</f>
        <v>54</v>
      </c>
      <c r="H27" s="122">
        <f>IF(VLOOKUP('Hide - Control'!A$3,'All practice data'!A:CA,C27+30,FALSE)=" "," ",VLOOKUP('Hide - Control'!A$3,'All practice data'!A:CA,C27+30,FALSE))</f>
        <v>281.44055871162766</v>
      </c>
      <c r="I27" s="123">
        <f>IF(LEFT(G27,1)=" "," n/a",IF(G27&lt;5,100000*VLOOKUP(G27,'Hide - Calculation'!AQ:AR,2,FALSE)/$E$8,100000*(G27*(1-1/(9*G27)-1.96/(3*SQRT(G27)))^3)/$E$8))</f>
        <v>211.4114341135155</v>
      </c>
      <c r="J27" s="123">
        <f>IF(LEFT(G27,1)=" "," n/a",IF(G27&lt;5,100000*VLOOKUP(G27,'Hide - Calculation'!AQ:AS,3,FALSE)/$E$8,100000*((G27+1)*(1-1/(9*(G27+1))+1.96/(3*SQRT(G27+1)))^3)/$E$8))</f>
        <v>367.22763914705905</v>
      </c>
      <c r="K27" s="122">
        <f>IF('Hide - Calculation'!N21="","",'Hide - Calculation'!N21)</f>
        <v>431.56368572045534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889.3280639648438</v>
      </c>
      <c r="AB27" s="234" t="s">
        <v>26</v>
      </c>
      <c r="AC27" s="131" t="s">
        <v>540</v>
      </c>
    </row>
    <row r="28" spans="2:29" s="63" customFormat="1" ht="33.75" customHeight="1">
      <c r="B28" s="306"/>
      <c r="C28" s="137">
        <v>16</v>
      </c>
      <c r="D28" s="147" t="s">
        <v>498</v>
      </c>
      <c r="E28" s="85"/>
      <c r="F28" s="85"/>
      <c r="G28" s="121">
        <f>IF(VLOOKUP('Hide - Control'!A$3,'All practice data'!A:CA,C28+4,FALSE)=" "," ",VLOOKUP('Hide - Control'!A$3,'All practice data'!A:CA,C28+4,FALSE))</f>
        <v>39</v>
      </c>
      <c r="H28" s="122">
        <f>IF(VLOOKUP('Hide - Control'!A$3,'All practice data'!A:CA,C28+30,FALSE)=" "," ",VLOOKUP('Hide - Control'!A$3,'All practice data'!A:CA,C28+30,FALSE))</f>
        <v>203.26262573617552</v>
      </c>
      <c r="I28" s="123">
        <f>IF(LEFT(G28,1)=" "," n/a",IF(G28&lt;5,100000*VLOOKUP(G28,'Hide - Calculation'!AQ:AR,2,FALSE)/$E$8,100000*(G28*(1-1/(9*G28)-1.96/(3*SQRT(G28)))^3)/$E$8))</f>
        <v>144.52126226229024</v>
      </c>
      <c r="J28" s="123">
        <f>IF(LEFT(G28,1)=" "," n/a",IF(G28&lt;5,100000*VLOOKUP(G28,'Hide - Calculation'!AQ:AS,3,FALSE)/$E$8,100000*((G28+1)*(1-1/(9*(G28+1))+1.96/(3*SQRT(G28+1)))^3)/$E$8))</f>
        <v>277.8757399089394</v>
      </c>
      <c r="K28" s="122">
        <f>IF('Hide - Calculation'!N22="","",'Hide - Calculation'!N22)</f>
        <v>285.9610698090508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904.27880859375</v>
      </c>
      <c r="AB28" s="234" t="s">
        <v>26</v>
      </c>
      <c r="AC28" s="131" t="s">
        <v>540</v>
      </c>
    </row>
    <row r="29" spans="2:29" s="63" customFormat="1" ht="33.75" customHeight="1">
      <c r="B29" s="306"/>
      <c r="C29" s="137">
        <v>17</v>
      </c>
      <c r="D29" s="147" t="s">
        <v>499</v>
      </c>
      <c r="E29" s="85"/>
      <c r="F29" s="85"/>
      <c r="G29" s="121">
        <f>IF(VLOOKUP('Hide - Control'!A$3,'All practice data'!A:CA,C29+4,FALSE)=" "," ",VLOOKUP('Hide - Control'!A$3,'All practice data'!A:CA,C29+4,FALSE))</f>
        <v>9</v>
      </c>
      <c r="H29" s="122">
        <f>IF(VLOOKUP('Hide - Control'!A$3,'All practice data'!A:CA,C29+30,FALSE)=" "," ",VLOOKUP('Hide - Control'!A$3,'All practice data'!A:CA,C29+30,FALSE))</f>
        <v>46.90675978527128</v>
      </c>
      <c r="I29" s="123">
        <f>IF(LEFT(G29,1)=" "," n/a",IF(G29&lt;5,100000*VLOOKUP(G29,'Hide - Calculation'!AQ:AR,2,FALSE)/$E$8,100000*(G29*(1-1/(9*G29)-1.96/(3*SQRT(G29)))^3)/$E$8))</f>
        <v>21.404185039465048</v>
      </c>
      <c r="J29" s="123">
        <f>IF(LEFT(G29,1)=" "," n/a",IF(G29&lt;5,100000*VLOOKUP(G29,'Hide - Calculation'!AQ:AS,3,FALSE)/$E$8,100000*((G29+1)*(1-1/(9*(G29+1))+1.96/(3*SQRT(G29+1)))^3)/$E$8))</f>
        <v>89.04958284638172</v>
      </c>
      <c r="K29" s="122">
        <f>IF('Hide - Calculation'!N23="","",'Hide - Calculation'!N23)</f>
        <v>59.8451429805349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191.34178161621094</v>
      </c>
      <c r="AB29" s="234" t="s">
        <v>26</v>
      </c>
      <c r="AC29" s="131" t="s">
        <v>540</v>
      </c>
    </row>
    <row r="30" spans="2:29" s="63" customFormat="1" ht="33.75" customHeight="1" thickBot="1">
      <c r="B30" s="309"/>
      <c r="C30" s="180">
        <v>18</v>
      </c>
      <c r="D30" s="181" t="s">
        <v>500</v>
      </c>
      <c r="E30" s="182"/>
      <c r="F30" s="182"/>
      <c r="G30" s="183">
        <f>IF(VLOOKUP('Hide - Control'!A$3,'All practice data'!A:CA,C30+4,FALSE)=" "," ",VLOOKUP('Hide - Control'!A$3,'All practice data'!A:CA,C30+4,FALSE))</f>
        <v>41</v>
      </c>
      <c r="H30" s="184">
        <f>IF(VLOOKUP('Hide - Control'!A$3,'All practice data'!A:CA,C30+30,FALSE)=" "," ",VLOOKUP('Hide - Control'!A$3,'All practice data'!A:CA,C30+30,FALSE))</f>
        <v>213.68635013290248</v>
      </c>
      <c r="I30" s="185">
        <f>IF(LEFT(G30,1)=" "," n/a",IF(G30&lt;5,100000*VLOOKUP(G30,'Hide - Calculation'!AQ:AR,2,FALSE)/$E$8,100000*(G30*(1-1/(9*G30)-1.96/(3*SQRT(G30)))^3)/$E$8))</f>
        <v>153.32718234377575</v>
      </c>
      <c r="J30" s="185">
        <f>IF(LEFT(G30,1)=" "," n/a",IF(G30&lt;5,100000*VLOOKUP(G30,'Hide - Calculation'!AQ:AS,3,FALSE)/$E$8,100000*((G30+1)*(1-1/(9*(G30+1))+1.96/(3*SQRT(G30+1)))^3)/$E$8))</f>
        <v>289.89866694619093</v>
      </c>
      <c r="K30" s="184">
        <f>IF('Hide - Calculation'!N24="","",'Hide - Calculation'!N24)</f>
        <v>269.6116235308634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973.1834106445312</v>
      </c>
      <c r="AB30" s="235" t="s">
        <v>26</v>
      </c>
      <c r="AC30" s="189" t="s">
        <v>540</v>
      </c>
    </row>
    <row r="31" spans="2:29" s="63" customFormat="1" ht="33.75" customHeight="1">
      <c r="B31" s="304" t="s">
        <v>368</v>
      </c>
      <c r="C31" s="163">
        <v>19</v>
      </c>
      <c r="D31" s="164" t="s">
        <v>372</v>
      </c>
      <c r="E31" s="165"/>
      <c r="F31" s="165"/>
      <c r="G31" s="166">
        <f>IF(VLOOKUP('Hide - Control'!A$3,'All practice data'!A:CA,C31+4,FALSE)=" "," ",VLOOKUP('Hide - Control'!A$3,'All practice data'!A:CA,C31+4,FALSE))</f>
        <v>90</v>
      </c>
      <c r="H31" s="167">
        <f>IF(VLOOKUP('Hide - Control'!A$3,'All practice data'!A:CA,C31+30,FALSE)=" "," ",VLOOKUP('Hide - Control'!A$3,'All practice data'!A:CA,C31+30,FALSE))</f>
        <v>469.06759785271277</v>
      </c>
      <c r="I31" s="168">
        <f>IF(LEFT(G31,1)=" "," n/a",IF(G31&lt;5,100000*VLOOKUP(G31,'Hide - Calculation'!AQ:AR,2,FALSE)/$E$8,100000*(G31*(1-1/(9*G31)-1.96/(3*SQRT(G31)))^3)/$E$8))</f>
        <v>377.17373947883823</v>
      </c>
      <c r="J31" s="168">
        <f>IF(LEFT(G31,1)=" "," n/a",IF(G31&lt;5,100000*VLOOKUP(G31,'Hide - Calculation'!AQ:AS,3,FALSE)/$E$8,100000*((G31+1)*(1-1/(9*(G31+1))+1.96/(3*SQRT(G31+1)))^3)/$E$8))</f>
        <v>576.5719215811814</v>
      </c>
      <c r="K31" s="167">
        <f>IF('Hide - Calculation'!N25="","",'Hide - Calculation'!N25)</f>
        <v>441.5892895702872</v>
      </c>
      <c r="L31" s="169">
        <f>'Hide - Calculation'!O25</f>
        <v>562.6134400960308</v>
      </c>
      <c r="M31" s="170">
        <f>IF(ISBLANK('Hide - Calculation'!K25),"",'Hide - Calculation'!U25)</f>
        <v>158.64622497558594</v>
      </c>
      <c r="N31" s="171"/>
      <c r="O31" s="172"/>
      <c r="P31" s="172"/>
      <c r="Q31" s="172"/>
      <c r="R31" s="173"/>
      <c r="S31" s="173"/>
      <c r="T31" s="173"/>
      <c r="U31" s="173"/>
      <c r="V31" s="173"/>
      <c r="W31" s="173"/>
      <c r="X31" s="173"/>
      <c r="Y31" s="173"/>
      <c r="Z31" s="174"/>
      <c r="AA31" s="170">
        <f>IF(ISBLANK('Hide - Calculation'!K25),"",'Hide - Calculation'!T25)</f>
        <v>886.67822265625</v>
      </c>
      <c r="AB31" s="233" t="s">
        <v>47</v>
      </c>
      <c r="AC31" s="175" t="s">
        <v>540</v>
      </c>
    </row>
    <row r="32" spans="2:29" s="63" customFormat="1" ht="33.75" customHeight="1">
      <c r="B32" s="305"/>
      <c r="C32" s="137">
        <v>20</v>
      </c>
      <c r="D32" s="132" t="s">
        <v>373</v>
      </c>
      <c r="E32" s="85"/>
      <c r="F32" s="85"/>
      <c r="G32" s="121">
        <f>IF(VLOOKUP('Hide - Control'!A$3,'All practice data'!A:CA,C32+4,FALSE)=" "," ",VLOOKUP('Hide - Control'!A$3,'All practice data'!A:CA,C32+4,FALSE))</f>
        <v>63</v>
      </c>
      <c r="H32" s="122">
        <f>IF(VLOOKUP('Hide - Control'!A$3,'All practice data'!A:CA,C32+30,FALSE)=" "," ",VLOOKUP('Hide - Control'!A$3,'All practice data'!A:CA,C32+30,FALSE))</f>
        <v>328.34731849689894</v>
      </c>
      <c r="I32" s="123">
        <f>IF(LEFT(G32,1)=" "," n/a",IF(G32&lt;5,100000*VLOOKUP(G32,'Hide - Calculation'!AQ:AR,2,FALSE)/$E$8,100000*(G32*(1-1/(9*G32)-1.96/(3*SQRT(G32)))^3)/$E$8))</f>
        <v>252.29688496329365</v>
      </c>
      <c r="J32" s="123">
        <f>IF(LEFT(G32,1)=" "," n/a",IF(G32&lt;5,100000*VLOOKUP(G32,'Hide - Calculation'!AQ:AS,3,FALSE)/$E$8,100000*((G32+1)*(1-1/(9*(G32+1))+1.96/(3*SQRT(G32+1)))^3)/$E$8))</f>
        <v>420.1074529628318</v>
      </c>
      <c r="K32" s="122">
        <f>IF('Hide - Calculation'!N26="","",'Hide - Calculation'!N26)</f>
        <v>517.0126785328686</v>
      </c>
      <c r="L32" s="156">
        <f>'Hide - Calculation'!O26</f>
        <v>405.57105879375996</v>
      </c>
      <c r="M32" s="148">
        <f>IF(ISBLANK('Hide - Calculation'!K26),"",'Hide - Calculation'!U26)</f>
        <v>125.80876922607422</v>
      </c>
      <c r="N32" s="86"/>
      <c r="O32" s="87"/>
      <c r="P32" s="87"/>
      <c r="Q32" s="87"/>
      <c r="R32" s="84"/>
      <c r="S32" s="84"/>
      <c r="T32" s="84"/>
      <c r="U32" s="84"/>
      <c r="V32" s="84"/>
      <c r="W32" s="84"/>
      <c r="X32" s="84"/>
      <c r="Y32" s="84"/>
      <c r="Z32" s="88"/>
      <c r="AA32" s="148">
        <f>IF(ISBLANK('Hide - Calculation'!K26),"",'Hide - Calculation'!T26)</f>
        <v>1086.03271484375</v>
      </c>
      <c r="AB32" s="234" t="s">
        <v>47</v>
      </c>
      <c r="AC32" s="131" t="s">
        <v>540</v>
      </c>
    </row>
    <row r="33" spans="2:29" s="63" customFormat="1" ht="33.75" customHeight="1">
      <c r="B33" s="305"/>
      <c r="C33" s="137">
        <v>21</v>
      </c>
      <c r="D33" s="132" t="s">
        <v>375</v>
      </c>
      <c r="E33" s="85"/>
      <c r="F33" s="85"/>
      <c r="G33" s="121">
        <f>IF(VLOOKUP('Hide - Control'!A$3,'All practice data'!A:CA,C33+4,FALSE)=" "," ",VLOOKUP('Hide - Control'!A$3,'All practice data'!A:CA,C33+4,FALSE))</f>
        <v>158</v>
      </c>
      <c r="H33" s="122">
        <f>IF(VLOOKUP('Hide - Control'!A$3,'All practice data'!A:CA,C33+30,FALSE)=" "," ",VLOOKUP('Hide - Control'!A$3,'All practice data'!A:CA,C33+30,FALSE))</f>
        <v>823.4742273414291</v>
      </c>
      <c r="I33" s="123">
        <f>IF(LEFT(G33,1)=" "," n/a",IF(G33&lt;5,100000*VLOOKUP(G33,'Hide - Calculation'!AQ:AR,2,FALSE)/$E$8,100000*(G33*(1-1/(9*G33)-1.96/(3*SQRT(G33)))^3)/$E$8))</f>
        <v>700.0686338599527</v>
      </c>
      <c r="J33" s="123">
        <f>IF(LEFT(G33,1)=" "," n/a",IF(G33&lt;5,100000*VLOOKUP(G33,'Hide - Calculation'!AQ:AS,3,FALSE)/$E$8,100000*((G33+1)*(1-1/(9*(G33+1))+1.96/(3*SQRT(G33+1)))^3)/$E$8))</f>
        <v>962.3640166764582</v>
      </c>
      <c r="K33" s="122">
        <f>IF('Hide - Calculation'!N27="","",'Hide - Calculation'!N27)</f>
        <v>818.0892741462812</v>
      </c>
      <c r="L33" s="156">
        <f>'Hide - Calculation'!O27</f>
        <v>1059.3522061277838</v>
      </c>
      <c r="M33" s="148">
        <f>IF(ISBLANK('Hide - Calculation'!K27),"",'Hide - Calculation'!U27)</f>
        <v>305.53558349609375</v>
      </c>
      <c r="N33" s="86"/>
      <c r="O33" s="87"/>
      <c r="P33" s="87"/>
      <c r="Q33" s="87"/>
      <c r="R33" s="84"/>
      <c r="S33" s="84"/>
      <c r="T33" s="84"/>
      <c r="U33" s="84"/>
      <c r="V33" s="84"/>
      <c r="W33" s="84"/>
      <c r="X33" s="84"/>
      <c r="Y33" s="84"/>
      <c r="Z33" s="88"/>
      <c r="AA33" s="148">
        <f>IF(ISBLANK('Hide - Calculation'!K27),"",'Hide - Calculation'!T27)</f>
        <v>1319.2041015625</v>
      </c>
      <c r="AB33" s="234" t="s">
        <v>47</v>
      </c>
      <c r="AC33" s="131" t="s">
        <v>540</v>
      </c>
    </row>
    <row r="34" spans="2:29" s="63" customFormat="1" ht="33.75" customHeight="1">
      <c r="B34" s="305"/>
      <c r="C34" s="137">
        <v>22</v>
      </c>
      <c r="D34" s="132" t="s">
        <v>374</v>
      </c>
      <c r="E34" s="85"/>
      <c r="F34" s="85"/>
      <c r="G34" s="118">
        <f>IF(VLOOKUP('Hide - Control'!A$3,'All practice data'!A:CA,C34+4,FALSE)=" "," ",VLOOKUP('Hide - Control'!A$3,'All practice data'!A:CA,C34+4,FALSE))</f>
        <v>59</v>
      </c>
      <c r="H34" s="122">
        <f>IF(VLOOKUP('Hide - Control'!A$3,'All practice data'!A:CA,C34+30,FALSE)=" "," ",VLOOKUP('Hide - Control'!A$3,'All practice data'!A:CA,C34+30,FALSE))</f>
        <v>307.49986970344503</v>
      </c>
      <c r="I34" s="123">
        <f>IF(LEFT(G34,1)=" "," n/a",IF(G34&lt;5,100000*VLOOKUP(G34,'Hide - Calculation'!AQ:AR,2,FALSE)/$E$8,100000*(G34*(1-1/(9*G34)-1.96/(3*SQRT(G34)))^3)/$E$8))</f>
        <v>234.06845907092665</v>
      </c>
      <c r="J34" s="123">
        <f>IF(LEFT(G34,1)=" "," n/a",IF(G34&lt;5,100000*VLOOKUP(G34,'Hide - Calculation'!AQ:AS,3,FALSE)/$E$8,100000*((G34+1)*(1-1/(9*(G34+1))+1.96/(3*SQRT(G34+1)))^3)/$E$8))</f>
        <v>396.66109620327035</v>
      </c>
      <c r="K34" s="122">
        <f>IF('Hide - Calculation'!N28="","",'Hide - Calculation'!N28)</f>
        <v>479.37810408119196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972.8414916992188</v>
      </c>
      <c r="AB34" s="234" t="s">
        <v>47</v>
      </c>
      <c r="AC34" s="131" t="s">
        <v>540</v>
      </c>
    </row>
    <row r="35" spans="2:29" s="63" customFormat="1" ht="33.75" customHeight="1">
      <c r="B35" s="305"/>
      <c r="C35" s="137">
        <v>23</v>
      </c>
      <c r="D35" s="138" t="s">
        <v>501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360</v>
      </c>
      <c r="AC35" s="131">
        <v>2008</v>
      </c>
    </row>
    <row r="36" spans="2:29" ht="33.75" customHeight="1">
      <c r="B36" s="306"/>
      <c r="C36" s="137">
        <v>24</v>
      </c>
      <c r="D36" s="224" t="s">
        <v>502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360</v>
      </c>
      <c r="AC36" s="131">
        <v>2008</v>
      </c>
    </row>
    <row r="37" spans="2:29" ht="33.75" customHeight="1" thickBot="1">
      <c r="B37" s="307"/>
      <c r="C37" s="176">
        <v>25</v>
      </c>
      <c r="D37" s="177" t="s">
        <v>376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360</v>
      </c>
      <c r="AC37" s="149">
        <v>2008</v>
      </c>
    </row>
    <row r="38" spans="2:29" ht="16.5" customHeight="1">
      <c r="B38" s="69"/>
      <c r="C38" s="69"/>
      <c r="D38" s="65" t="s">
        <v>358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606</v>
      </c>
      <c r="C39" s="244"/>
      <c r="D39" s="244"/>
      <c r="E39" s="303" t="s">
        <v>610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526</v>
      </c>
      <c r="BE2" s="341"/>
      <c r="BF2" s="341"/>
      <c r="BG2" s="341"/>
      <c r="BH2" s="341"/>
      <c r="BI2" s="341"/>
      <c r="BJ2" s="342"/>
    </row>
    <row r="3" spans="1:82" s="72" customFormat="1" ht="76.5" customHeight="1">
      <c r="A3" s="266" t="s">
        <v>276</v>
      </c>
      <c r="B3" s="275" t="s">
        <v>277</v>
      </c>
      <c r="C3" s="276" t="s">
        <v>49</v>
      </c>
      <c r="D3" s="274" t="s">
        <v>511</v>
      </c>
      <c r="E3" s="267" t="s">
        <v>383</v>
      </c>
      <c r="F3" s="267" t="s">
        <v>494</v>
      </c>
      <c r="G3" s="267" t="s">
        <v>385</v>
      </c>
      <c r="H3" s="267" t="s">
        <v>386</v>
      </c>
      <c r="I3" s="267" t="s">
        <v>387</v>
      </c>
      <c r="J3" s="267" t="s">
        <v>535</v>
      </c>
      <c r="K3" s="267" t="s">
        <v>536</v>
      </c>
      <c r="L3" s="267" t="s">
        <v>537</v>
      </c>
      <c r="M3" s="267" t="s">
        <v>388</v>
      </c>
      <c r="N3" s="267" t="s">
        <v>389</v>
      </c>
      <c r="O3" s="267" t="s">
        <v>390</v>
      </c>
      <c r="P3" s="267" t="s">
        <v>525</v>
      </c>
      <c r="Q3" s="267" t="s">
        <v>391</v>
      </c>
      <c r="R3" s="267" t="s">
        <v>392</v>
      </c>
      <c r="S3" s="267" t="s">
        <v>393</v>
      </c>
      <c r="T3" s="267" t="s">
        <v>394</v>
      </c>
      <c r="U3" s="267" t="s">
        <v>395</v>
      </c>
      <c r="V3" s="267" t="s">
        <v>396</v>
      </c>
      <c r="W3" s="267" t="s">
        <v>397</v>
      </c>
      <c r="X3" s="267" t="s">
        <v>398</v>
      </c>
      <c r="Y3" s="267" t="s">
        <v>399</v>
      </c>
      <c r="Z3" s="267" t="s">
        <v>400</v>
      </c>
      <c r="AA3" s="267" t="s">
        <v>401</v>
      </c>
      <c r="AB3" s="267" t="s">
        <v>402</v>
      </c>
      <c r="AC3" s="267" t="s">
        <v>403</v>
      </c>
      <c r="AD3" s="268" t="s">
        <v>404</v>
      </c>
      <c r="AE3" s="268" t="s">
        <v>383</v>
      </c>
      <c r="AF3" s="269" t="s">
        <v>384</v>
      </c>
      <c r="AG3" s="268" t="s">
        <v>385</v>
      </c>
      <c r="AH3" s="268" t="s">
        <v>386</v>
      </c>
      <c r="AI3" s="268" t="s">
        <v>387</v>
      </c>
      <c r="AJ3" s="268" t="s">
        <v>535</v>
      </c>
      <c r="AK3" s="268" t="s">
        <v>536</v>
      </c>
      <c r="AL3" s="268" t="s">
        <v>537</v>
      </c>
      <c r="AM3" s="268" t="s">
        <v>388</v>
      </c>
      <c r="AN3" s="268" t="s">
        <v>389</v>
      </c>
      <c r="AO3" s="268" t="s">
        <v>390</v>
      </c>
      <c r="AP3" s="268" t="s">
        <v>525</v>
      </c>
      <c r="AQ3" s="268" t="s">
        <v>391</v>
      </c>
      <c r="AR3" s="268" t="s">
        <v>392</v>
      </c>
      <c r="AS3" s="268" t="s">
        <v>393</v>
      </c>
      <c r="AT3" s="268" t="s">
        <v>394</v>
      </c>
      <c r="AU3" s="268" t="s">
        <v>395</v>
      </c>
      <c r="AV3" s="268" t="s">
        <v>396</v>
      </c>
      <c r="AW3" s="268" t="s">
        <v>397</v>
      </c>
      <c r="AX3" s="268" t="s">
        <v>398</v>
      </c>
      <c r="AY3" s="270" t="s">
        <v>399</v>
      </c>
      <c r="AZ3" s="271" t="s">
        <v>400</v>
      </c>
      <c r="BA3" s="271" t="s">
        <v>401</v>
      </c>
      <c r="BB3" s="271" t="s">
        <v>402</v>
      </c>
      <c r="BC3" s="272" t="s">
        <v>403</v>
      </c>
      <c r="BD3" s="273" t="s">
        <v>523</v>
      </c>
      <c r="BE3" s="273" t="s">
        <v>524</v>
      </c>
      <c r="BF3" s="273" t="s">
        <v>531</v>
      </c>
      <c r="BG3" s="273" t="s">
        <v>532</v>
      </c>
      <c r="BH3" s="273" t="s">
        <v>530</v>
      </c>
      <c r="BI3" s="273" t="s">
        <v>533</v>
      </c>
      <c r="BJ3" s="273" t="s">
        <v>534</v>
      </c>
      <c r="BK3" s="73"/>
      <c r="BL3" s="73"/>
      <c r="BM3" s="73"/>
      <c r="BN3" s="73"/>
      <c r="BO3" s="73"/>
      <c r="BP3" s="73"/>
      <c r="BQ3" s="73"/>
      <c r="BR3" s="73"/>
      <c r="BS3" s="73"/>
      <c r="BT3" s="73"/>
      <c r="BU3" s="73"/>
      <c r="BV3" s="73"/>
      <c r="BW3" s="73"/>
      <c r="BX3" s="73"/>
      <c r="BY3" s="73"/>
      <c r="BZ3" s="73"/>
      <c r="CA3" s="73"/>
      <c r="CB3" s="73"/>
      <c r="CC3" s="73"/>
      <c r="CD3" s="73"/>
    </row>
    <row r="4" spans="1:66" ht="12.75">
      <c r="A4" s="79" t="s">
        <v>565</v>
      </c>
      <c r="B4" s="79" t="s">
        <v>309</v>
      </c>
      <c r="C4" s="79" t="s">
        <v>226</v>
      </c>
      <c r="D4" s="99">
        <v>19187</v>
      </c>
      <c r="E4" s="99">
        <v>2600</v>
      </c>
      <c r="F4" s="99" t="s">
        <v>380</v>
      </c>
      <c r="G4" s="99">
        <v>81</v>
      </c>
      <c r="H4" s="99">
        <v>32</v>
      </c>
      <c r="I4" s="99">
        <v>244</v>
      </c>
      <c r="J4" s="99">
        <v>1691</v>
      </c>
      <c r="K4" s="99">
        <v>20</v>
      </c>
      <c r="L4" s="99">
        <v>3500</v>
      </c>
      <c r="M4" s="99">
        <v>1243</v>
      </c>
      <c r="N4" s="99">
        <v>608</v>
      </c>
      <c r="O4" s="99">
        <v>240</v>
      </c>
      <c r="P4" s="159">
        <v>240</v>
      </c>
      <c r="Q4" s="99">
        <v>28</v>
      </c>
      <c r="R4" s="99">
        <v>66</v>
      </c>
      <c r="S4" s="99">
        <v>54</v>
      </c>
      <c r="T4" s="99">
        <v>39</v>
      </c>
      <c r="U4" s="99">
        <v>9</v>
      </c>
      <c r="V4" s="99">
        <v>41</v>
      </c>
      <c r="W4" s="99">
        <v>90</v>
      </c>
      <c r="X4" s="99">
        <v>63</v>
      </c>
      <c r="Y4" s="99">
        <v>158</v>
      </c>
      <c r="Z4" s="99">
        <v>59</v>
      </c>
      <c r="AA4" s="99" t="s">
        <v>609</v>
      </c>
      <c r="AB4" s="99" t="s">
        <v>609</v>
      </c>
      <c r="AC4" s="99" t="s">
        <v>609</v>
      </c>
      <c r="AD4" s="98" t="s">
        <v>358</v>
      </c>
      <c r="AE4" s="100">
        <v>0.13550841715745035</v>
      </c>
      <c r="AF4" s="100">
        <v>0.11</v>
      </c>
      <c r="AG4" s="98">
        <v>422.1608380674415</v>
      </c>
      <c r="AH4" s="98">
        <v>166.7795903476312</v>
      </c>
      <c r="AI4" s="100">
        <v>0.013000000000000001</v>
      </c>
      <c r="AJ4" s="100">
        <v>0.760684</v>
      </c>
      <c r="AK4" s="100">
        <v>0.465116</v>
      </c>
      <c r="AL4" s="100">
        <v>0.760043</v>
      </c>
      <c r="AM4" s="100">
        <v>0.595307</v>
      </c>
      <c r="AN4" s="100">
        <v>0.604374</v>
      </c>
      <c r="AO4" s="98">
        <v>1250.846927607234</v>
      </c>
      <c r="AP4" s="158">
        <v>0.7295329285</v>
      </c>
      <c r="AQ4" s="100">
        <v>0.11666666666666667</v>
      </c>
      <c r="AR4" s="100">
        <v>0.42424242424242425</v>
      </c>
      <c r="AS4" s="98">
        <v>281.44055871162766</v>
      </c>
      <c r="AT4" s="98">
        <v>203.26262573617552</v>
      </c>
      <c r="AU4" s="98">
        <v>46.90675978527128</v>
      </c>
      <c r="AV4" s="98">
        <v>213.68635013290248</v>
      </c>
      <c r="AW4" s="98">
        <v>469.06759785271277</v>
      </c>
      <c r="AX4" s="98">
        <v>328.34731849689894</v>
      </c>
      <c r="AY4" s="98">
        <v>823.4742273414291</v>
      </c>
      <c r="AZ4" s="98">
        <v>307.49986970344503</v>
      </c>
      <c r="BA4" s="100" t="s">
        <v>609</v>
      </c>
      <c r="BB4" s="100" t="s">
        <v>609</v>
      </c>
      <c r="BC4" s="100" t="s">
        <v>609</v>
      </c>
      <c r="BD4" s="158">
        <v>0.6401478577</v>
      </c>
      <c r="BE4" s="158">
        <v>0.8279062653</v>
      </c>
      <c r="BF4" s="162">
        <v>2223</v>
      </c>
      <c r="BG4" s="162">
        <v>43</v>
      </c>
      <c r="BH4" s="162">
        <v>4605</v>
      </c>
      <c r="BI4" s="162">
        <v>2088</v>
      </c>
      <c r="BJ4" s="162">
        <v>1006</v>
      </c>
      <c r="BK4" s="97"/>
      <c r="BL4" s="97"/>
      <c r="BM4" s="97"/>
      <c r="BN4" s="97"/>
    </row>
    <row r="5" spans="1:66" ht="12.75">
      <c r="A5" s="79" t="s">
        <v>572</v>
      </c>
      <c r="B5" s="79" t="s">
        <v>320</v>
      </c>
      <c r="C5" s="79" t="s">
        <v>226</v>
      </c>
      <c r="D5" s="99">
        <v>15648</v>
      </c>
      <c r="E5" s="99">
        <v>2633</v>
      </c>
      <c r="F5" s="99" t="s">
        <v>381</v>
      </c>
      <c r="G5" s="99">
        <v>61</v>
      </c>
      <c r="H5" s="99">
        <v>34</v>
      </c>
      <c r="I5" s="99">
        <v>238</v>
      </c>
      <c r="J5" s="99">
        <v>1351</v>
      </c>
      <c r="K5" s="99">
        <v>7</v>
      </c>
      <c r="L5" s="99">
        <v>2706</v>
      </c>
      <c r="M5" s="99">
        <v>954</v>
      </c>
      <c r="N5" s="99">
        <v>526</v>
      </c>
      <c r="O5" s="99">
        <v>311</v>
      </c>
      <c r="P5" s="159">
        <v>311</v>
      </c>
      <c r="Q5" s="99">
        <v>22</v>
      </c>
      <c r="R5" s="99">
        <v>46</v>
      </c>
      <c r="S5" s="99">
        <v>75</v>
      </c>
      <c r="T5" s="99">
        <v>51</v>
      </c>
      <c r="U5" s="99">
        <v>7</v>
      </c>
      <c r="V5" s="99">
        <v>36</v>
      </c>
      <c r="W5" s="99">
        <v>39</v>
      </c>
      <c r="X5" s="99">
        <v>89</v>
      </c>
      <c r="Y5" s="99">
        <v>109</v>
      </c>
      <c r="Z5" s="99">
        <v>70</v>
      </c>
      <c r="AA5" s="99" t="s">
        <v>609</v>
      </c>
      <c r="AB5" s="99" t="s">
        <v>609</v>
      </c>
      <c r="AC5" s="99" t="s">
        <v>609</v>
      </c>
      <c r="AD5" s="98" t="s">
        <v>358</v>
      </c>
      <c r="AE5" s="100">
        <v>0.16826431492842536</v>
      </c>
      <c r="AF5" s="100">
        <v>0.15</v>
      </c>
      <c r="AG5" s="98">
        <v>389.8261758691207</v>
      </c>
      <c r="AH5" s="98">
        <v>217.280163599182</v>
      </c>
      <c r="AI5" s="100">
        <v>0.015</v>
      </c>
      <c r="AJ5" s="100">
        <v>0.754327</v>
      </c>
      <c r="AK5" s="100">
        <v>0.5</v>
      </c>
      <c r="AL5" s="100">
        <v>0.749377</v>
      </c>
      <c r="AM5" s="100">
        <v>0.572973</v>
      </c>
      <c r="AN5" s="100">
        <v>0.589686</v>
      </c>
      <c r="AO5" s="98">
        <v>1987.4744376278118</v>
      </c>
      <c r="AP5" s="158">
        <v>1.092600327</v>
      </c>
      <c r="AQ5" s="100">
        <v>0.0707395498392283</v>
      </c>
      <c r="AR5" s="100">
        <v>0.4782608695652174</v>
      </c>
      <c r="AS5" s="98">
        <v>479.29447852760734</v>
      </c>
      <c r="AT5" s="98">
        <v>325.92024539877303</v>
      </c>
      <c r="AU5" s="98">
        <v>44.73415132924335</v>
      </c>
      <c r="AV5" s="98">
        <v>230.06134969325154</v>
      </c>
      <c r="AW5" s="98">
        <v>249.23312883435582</v>
      </c>
      <c r="AX5" s="98">
        <v>568.7627811860941</v>
      </c>
      <c r="AY5" s="98">
        <v>696.5746421267894</v>
      </c>
      <c r="AZ5" s="98">
        <v>447.34151329243355</v>
      </c>
      <c r="BA5" s="100" t="s">
        <v>609</v>
      </c>
      <c r="BB5" s="100" t="s">
        <v>609</v>
      </c>
      <c r="BC5" s="100" t="s">
        <v>609</v>
      </c>
      <c r="BD5" s="158">
        <v>0.9745304108</v>
      </c>
      <c r="BE5" s="158">
        <v>1.2210321039999998</v>
      </c>
      <c r="BF5" s="162">
        <v>1791</v>
      </c>
      <c r="BG5" s="162">
        <v>14</v>
      </c>
      <c r="BH5" s="162">
        <v>3611</v>
      </c>
      <c r="BI5" s="162">
        <v>1665</v>
      </c>
      <c r="BJ5" s="162">
        <v>892</v>
      </c>
      <c r="BK5" s="97"/>
      <c r="BL5" s="97"/>
      <c r="BM5" s="97"/>
      <c r="BN5" s="97"/>
    </row>
    <row r="6" spans="1:66" ht="12.75">
      <c r="A6" s="79" t="s">
        <v>571</v>
      </c>
      <c r="B6" s="79" t="s">
        <v>318</v>
      </c>
      <c r="C6" s="79" t="s">
        <v>226</v>
      </c>
      <c r="D6" s="99">
        <v>13438</v>
      </c>
      <c r="E6" s="99">
        <v>2112</v>
      </c>
      <c r="F6" s="99" t="s">
        <v>381</v>
      </c>
      <c r="G6" s="99">
        <v>56</v>
      </c>
      <c r="H6" s="99">
        <v>33</v>
      </c>
      <c r="I6" s="99">
        <v>157</v>
      </c>
      <c r="J6" s="99">
        <v>1050</v>
      </c>
      <c r="K6" s="99">
        <v>8</v>
      </c>
      <c r="L6" s="99">
        <v>2416</v>
      </c>
      <c r="M6" s="99">
        <v>624</v>
      </c>
      <c r="N6" s="99">
        <v>308</v>
      </c>
      <c r="O6" s="99">
        <v>185</v>
      </c>
      <c r="P6" s="159">
        <v>185</v>
      </c>
      <c r="Q6" s="99">
        <v>25</v>
      </c>
      <c r="R6" s="99">
        <v>46</v>
      </c>
      <c r="S6" s="99">
        <v>44</v>
      </c>
      <c r="T6" s="99">
        <v>20</v>
      </c>
      <c r="U6" s="99" t="s">
        <v>609</v>
      </c>
      <c r="V6" s="99">
        <v>40</v>
      </c>
      <c r="W6" s="99">
        <v>70</v>
      </c>
      <c r="X6" s="99">
        <v>63</v>
      </c>
      <c r="Y6" s="99">
        <v>129</v>
      </c>
      <c r="Z6" s="99">
        <v>69</v>
      </c>
      <c r="AA6" s="99" t="s">
        <v>609</v>
      </c>
      <c r="AB6" s="99" t="s">
        <v>609</v>
      </c>
      <c r="AC6" s="99" t="s">
        <v>609</v>
      </c>
      <c r="AD6" s="98" t="s">
        <v>358</v>
      </c>
      <c r="AE6" s="100">
        <v>0.1571662449769311</v>
      </c>
      <c r="AF6" s="100">
        <v>0.14</v>
      </c>
      <c r="AG6" s="98">
        <v>416.7286798630749</v>
      </c>
      <c r="AH6" s="98">
        <v>245.57225777645482</v>
      </c>
      <c r="AI6" s="100">
        <v>0.012</v>
      </c>
      <c r="AJ6" s="100">
        <v>0.711864</v>
      </c>
      <c r="AK6" s="100">
        <v>0.470588</v>
      </c>
      <c r="AL6" s="100">
        <v>0.742015</v>
      </c>
      <c r="AM6" s="100">
        <v>0.505673</v>
      </c>
      <c r="AN6" s="100">
        <v>0.528302</v>
      </c>
      <c r="AO6" s="98">
        <v>1376.6929602619437</v>
      </c>
      <c r="AP6" s="158">
        <v>0.7647254943999999</v>
      </c>
      <c r="AQ6" s="100">
        <v>0.13513513513513514</v>
      </c>
      <c r="AR6" s="100">
        <v>0.5434782608695652</v>
      </c>
      <c r="AS6" s="98">
        <v>327.42967703527313</v>
      </c>
      <c r="AT6" s="98">
        <v>148.8316713796696</v>
      </c>
      <c r="AU6" s="98" t="s">
        <v>609</v>
      </c>
      <c r="AV6" s="98">
        <v>297.6633427593392</v>
      </c>
      <c r="AW6" s="98">
        <v>520.9108498288435</v>
      </c>
      <c r="AX6" s="98">
        <v>468.81976484595924</v>
      </c>
      <c r="AY6" s="98">
        <v>959.9642803988688</v>
      </c>
      <c r="AZ6" s="98">
        <v>513.4692662598601</v>
      </c>
      <c r="BA6" s="100" t="s">
        <v>609</v>
      </c>
      <c r="BB6" s="100" t="s">
        <v>609</v>
      </c>
      <c r="BC6" s="100" t="s">
        <v>609</v>
      </c>
      <c r="BD6" s="158">
        <v>0.6584948730000001</v>
      </c>
      <c r="BE6" s="158">
        <v>0.8832147217</v>
      </c>
      <c r="BF6" s="162">
        <v>1475</v>
      </c>
      <c r="BG6" s="162">
        <v>17</v>
      </c>
      <c r="BH6" s="162">
        <v>3256</v>
      </c>
      <c r="BI6" s="162">
        <v>1234</v>
      </c>
      <c r="BJ6" s="162">
        <v>583</v>
      </c>
      <c r="BK6" s="97"/>
      <c r="BL6" s="97"/>
      <c r="BM6" s="97"/>
      <c r="BN6" s="97"/>
    </row>
    <row r="7" spans="1:66" ht="12.75">
      <c r="A7" s="79" t="s">
        <v>562</v>
      </c>
      <c r="B7" s="79" t="s">
        <v>306</v>
      </c>
      <c r="C7" s="79" t="s">
        <v>226</v>
      </c>
      <c r="D7" s="99">
        <v>11966</v>
      </c>
      <c r="E7" s="99">
        <v>1684</v>
      </c>
      <c r="F7" s="99" t="s">
        <v>381</v>
      </c>
      <c r="G7" s="99">
        <v>43</v>
      </c>
      <c r="H7" s="99">
        <v>21</v>
      </c>
      <c r="I7" s="99">
        <v>152</v>
      </c>
      <c r="J7" s="99">
        <v>975</v>
      </c>
      <c r="K7" s="99">
        <v>927</v>
      </c>
      <c r="L7" s="99">
        <v>2309</v>
      </c>
      <c r="M7" s="99">
        <v>561</v>
      </c>
      <c r="N7" s="99">
        <v>284</v>
      </c>
      <c r="O7" s="99">
        <v>198</v>
      </c>
      <c r="P7" s="159">
        <v>198</v>
      </c>
      <c r="Q7" s="99">
        <v>26</v>
      </c>
      <c r="R7" s="99">
        <v>49</v>
      </c>
      <c r="S7" s="99">
        <v>60</v>
      </c>
      <c r="T7" s="99">
        <v>30</v>
      </c>
      <c r="U7" s="99">
        <v>7</v>
      </c>
      <c r="V7" s="99">
        <v>24</v>
      </c>
      <c r="W7" s="99">
        <v>54</v>
      </c>
      <c r="X7" s="99">
        <v>50</v>
      </c>
      <c r="Y7" s="99">
        <v>85</v>
      </c>
      <c r="Z7" s="99">
        <v>71</v>
      </c>
      <c r="AA7" s="99" t="s">
        <v>609</v>
      </c>
      <c r="AB7" s="99" t="s">
        <v>609</v>
      </c>
      <c r="AC7" s="99" t="s">
        <v>609</v>
      </c>
      <c r="AD7" s="98" t="s">
        <v>358</v>
      </c>
      <c r="AE7" s="100">
        <v>0.1407320742102624</v>
      </c>
      <c r="AF7" s="100">
        <v>0.13</v>
      </c>
      <c r="AG7" s="98">
        <v>359.3514959050643</v>
      </c>
      <c r="AH7" s="98">
        <v>175.49724218619423</v>
      </c>
      <c r="AI7" s="100">
        <v>0.013000000000000001</v>
      </c>
      <c r="AJ7" s="100">
        <v>0.759346</v>
      </c>
      <c r="AK7" s="100">
        <v>0.741007</v>
      </c>
      <c r="AL7" s="100">
        <v>0.741014</v>
      </c>
      <c r="AM7" s="100">
        <v>0.504496</v>
      </c>
      <c r="AN7" s="100">
        <v>0.520147</v>
      </c>
      <c r="AO7" s="98">
        <v>1654.6882834698313</v>
      </c>
      <c r="AP7" s="158">
        <v>0.9550297546000001</v>
      </c>
      <c r="AQ7" s="100">
        <v>0.13131313131313133</v>
      </c>
      <c r="AR7" s="100">
        <v>0.5306122448979592</v>
      </c>
      <c r="AS7" s="98">
        <v>501.4206919605549</v>
      </c>
      <c r="AT7" s="98">
        <v>250.71034598027745</v>
      </c>
      <c r="AU7" s="98">
        <v>58.49908072873141</v>
      </c>
      <c r="AV7" s="98">
        <v>200.56827678422195</v>
      </c>
      <c r="AW7" s="98">
        <v>451.2786227644994</v>
      </c>
      <c r="AX7" s="98">
        <v>417.85057663379575</v>
      </c>
      <c r="AY7" s="98">
        <v>710.3459802774528</v>
      </c>
      <c r="AZ7" s="98">
        <v>593.3478188199899</v>
      </c>
      <c r="BA7" s="100" t="s">
        <v>609</v>
      </c>
      <c r="BB7" s="100" t="s">
        <v>609</v>
      </c>
      <c r="BC7" s="100" t="s">
        <v>609</v>
      </c>
      <c r="BD7" s="158">
        <v>0.8266307831</v>
      </c>
      <c r="BE7" s="158">
        <v>1.097721481</v>
      </c>
      <c r="BF7" s="162">
        <v>1284</v>
      </c>
      <c r="BG7" s="162">
        <v>1251</v>
      </c>
      <c r="BH7" s="162">
        <v>3116</v>
      </c>
      <c r="BI7" s="162">
        <v>1112</v>
      </c>
      <c r="BJ7" s="162">
        <v>546</v>
      </c>
      <c r="BK7" s="97"/>
      <c r="BL7" s="97"/>
      <c r="BM7" s="97"/>
      <c r="BN7" s="97"/>
    </row>
    <row r="8" spans="1:66" ht="12.75">
      <c r="A8" s="79" t="s">
        <v>544</v>
      </c>
      <c r="B8" s="79" t="s">
        <v>283</v>
      </c>
      <c r="C8" s="79" t="s">
        <v>226</v>
      </c>
      <c r="D8" s="99">
        <v>4483</v>
      </c>
      <c r="E8" s="99">
        <v>665</v>
      </c>
      <c r="F8" s="99" t="s">
        <v>382</v>
      </c>
      <c r="G8" s="99">
        <v>23</v>
      </c>
      <c r="H8" s="99">
        <v>10</v>
      </c>
      <c r="I8" s="99">
        <v>35</v>
      </c>
      <c r="J8" s="99">
        <v>339</v>
      </c>
      <c r="K8" s="99" t="s">
        <v>609</v>
      </c>
      <c r="L8" s="99">
        <v>810</v>
      </c>
      <c r="M8" s="99">
        <v>233</v>
      </c>
      <c r="N8" s="99">
        <v>129</v>
      </c>
      <c r="O8" s="99">
        <v>57</v>
      </c>
      <c r="P8" s="159">
        <v>57</v>
      </c>
      <c r="Q8" s="99">
        <v>7</v>
      </c>
      <c r="R8" s="99">
        <v>16</v>
      </c>
      <c r="S8" s="99">
        <v>17</v>
      </c>
      <c r="T8" s="99">
        <v>12</v>
      </c>
      <c r="U8" s="99" t="s">
        <v>609</v>
      </c>
      <c r="V8" s="99">
        <v>7</v>
      </c>
      <c r="W8" s="99">
        <v>32</v>
      </c>
      <c r="X8" s="99">
        <v>25</v>
      </c>
      <c r="Y8" s="99">
        <v>45</v>
      </c>
      <c r="Z8" s="99">
        <v>21</v>
      </c>
      <c r="AA8" s="99" t="s">
        <v>609</v>
      </c>
      <c r="AB8" s="99" t="s">
        <v>609</v>
      </c>
      <c r="AC8" s="99" t="s">
        <v>609</v>
      </c>
      <c r="AD8" s="98" t="s">
        <v>358</v>
      </c>
      <c r="AE8" s="100">
        <v>0.14833816640642428</v>
      </c>
      <c r="AF8" s="100">
        <v>0.05</v>
      </c>
      <c r="AG8" s="98">
        <v>513.0492973455275</v>
      </c>
      <c r="AH8" s="98">
        <v>223.0649118893598</v>
      </c>
      <c r="AI8" s="100">
        <v>0.008</v>
      </c>
      <c r="AJ8" s="100">
        <v>0.673956</v>
      </c>
      <c r="AK8" s="100" t="s">
        <v>609</v>
      </c>
      <c r="AL8" s="100">
        <v>0.743119</v>
      </c>
      <c r="AM8" s="100">
        <v>0.489496</v>
      </c>
      <c r="AN8" s="100">
        <v>0.548936</v>
      </c>
      <c r="AO8" s="98">
        <v>1271.4699977693508</v>
      </c>
      <c r="AP8" s="158">
        <v>0.6939495087</v>
      </c>
      <c r="AQ8" s="100">
        <v>0.12280701754385964</v>
      </c>
      <c r="AR8" s="100">
        <v>0.4375</v>
      </c>
      <c r="AS8" s="98">
        <v>379.21035021191165</v>
      </c>
      <c r="AT8" s="98">
        <v>267.67789426723175</v>
      </c>
      <c r="AU8" s="98" t="s">
        <v>609</v>
      </c>
      <c r="AV8" s="98">
        <v>156.14543832255185</v>
      </c>
      <c r="AW8" s="98">
        <v>713.8077180459513</v>
      </c>
      <c r="AX8" s="98">
        <v>557.6622797233995</v>
      </c>
      <c r="AY8" s="98">
        <v>1003.7921035021191</v>
      </c>
      <c r="AZ8" s="98">
        <v>468.43631496765556</v>
      </c>
      <c r="BA8" s="100" t="s">
        <v>609</v>
      </c>
      <c r="BB8" s="100" t="s">
        <v>609</v>
      </c>
      <c r="BC8" s="100" t="s">
        <v>609</v>
      </c>
      <c r="BD8" s="158">
        <v>0.5255905914</v>
      </c>
      <c r="BE8" s="158">
        <v>0.8990921021</v>
      </c>
      <c r="BF8" s="162">
        <v>503</v>
      </c>
      <c r="BG8" s="162" t="s">
        <v>609</v>
      </c>
      <c r="BH8" s="162">
        <v>1090</v>
      </c>
      <c r="BI8" s="162">
        <v>476</v>
      </c>
      <c r="BJ8" s="162">
        <v>235</v>
      </c>
      <c r="BK8" s="97"/>
      <c r="BL8" s="97"/>
      <c r="BM8" s="97"/>
      <c r="BN8" s="97"/>
    </row>
    <row r="9" spans="1:66" ht="12.75">
      <c r="A9" s="79" t="s">
        <v>573</v>
      </c>
      <c r="B9" s="79" t="s">
        <v>321</v>
      </c>
      <c r="C9" s="79" t="s">
        <v>226</v>
      </c>
      <c r="D9" s="99">
        <v>6587</v>
      </c>
      <c r="E9" s="99">
        <v>713</v>
      </c>
      <c r="F9" s="99" t="s">
        <v>378</v>
      </c>
      <c r="G9" s="99">
        <v>28</v>
      </c>
      <c r="H9" s="99">
        <v>6</v>
      </c>
      <c r="I9" s="99">
        <v>66</v>
      </c>
      <c r="J9" s="99">
        <v>530</v>
      </c>
      <c r="K9" s="99">
        <v>8</v>
      </c>
      <c r="L9" s="99">
        <v>1245</v>
      </c>
      <c r="M9" s="99">
        <v>344</v>
      </c>
      <c r="N9" s="99">
        <v>172</v>
      </c>
      <c r="O9" s="99">
        <v>75</v>
      </c>
      <c r="P9" s="159">
        <v>75</v>
      </c>
      <c r="Q9" s="99" t="s">
        <v>609</v>
      </c>
      <c r="R9" s="99">
        <v>21</v>
      </c>
      <c r="S9" s="99">
        <v>14</v>
      </c>
      <c r="T9" s="99">
        <v>7</v>
      </c>
      <c r="U9" s="99" t="s">
        <v>609</v>
      </c>
      <c r="V9" s="99">
        <v>11</v>
      </c>
      <c r="W9" s="99">
        <v>21</v>
      </c>
      <c r="X9" s="99">
        <v>12</v>
      </c>
      <c r="Y9" s="99">
        <v>54</v>
      </c>
      <c r="Z9" s="99">
        <v>27</v>
      </c>
      <c r="AA9" s="99" t="s">
        <v>609</v>
      </c>
      <c r="AB9" s="99" t="s">
        <v>609</v>
      </c>
      <c r="AC9" s="99" t="s">
        <v>609</v>
      </c>
      <c r="AD9" s="98" t="s">
        <v>358</v>
      </c>
      <c r="AE9" s="100">
        <v>0.10824350994382875</v>
      </c>
      <c r="AF9" s="100">
        <v>0.2</v>
      </c>
      <c r="AG9" s="98">
        <v>425.0797024442083</v>
      </c>
      <c r="AH9" s="98">
        <v>91.08850766661607</v>
      </c>
      <c r="AI9" s="100">
        <v>0.01</v>
      </c>
      <c r="AJ9" s="100">
        <v>0.683871</v>
      </c>
      <c r="AK9" s="100">
        <v>0.615385</v>
      </c>
      <c r="AL9" s="100">
        <v>0.756839</v>
      </c>
      <c r="AM9" s="100">
        <v>0.5</v>
      </c>
      <c r="AN9" s="100">
        <v>0.527607</v>
      </c>
      <c r="AO9" s="98">
        <v>1138.6063458327008</v>
      </c>
      <c r="AP9" s="158">
        <v>0.7115368651999999</v>
      </c>
      <c r="AQ9" s="100" t="s">
        <v>609</v>
      </c>
      <c r="AR9" s="100" t="s">
        <v>609</v>
      </c>
      <c r="AS9" s="98">
        <v>212.53985122210415</v>
      </c>
      <c r="AT9" s="98">
        <v>106.26992561105207</v>
      </c>
      <c r="AU9" s="98" t="s">
        <v>609</v>
      </c>
      <c r="AV9" s="98">
        <v>166.9955973887961</v>
      </c>
      <c r="AW9" s="98">
        <v>318.8097768331562</v>
      </c>
      <c r="AX9" s="98">
        <v>182.17701533323213</v>
      </c>
      <c r="AY9" s="98">
        <v>819.7965689995445</v>
      </c>
      <c r="AZ9" s="98">
        <v>409.8982844997723</v>
      </c>
      <c r="BA9" s="100" t="s">
        <v>609</v>
      </c>
      <c r="BB9" s="100" t="s">
        <v>609</v>
      </c>
      <c r="BC9" s="100" t="s">
        <v>609</v>
      </c>
      <c r="BD9" s="158">
        <v>0.5596688843</v>
      </c>
      <c r="BE9" s="158">
        <v>0.8919176483</v>
      </c>
      <c r="BF9" s="162">
        <v>775</v>
      </c>
      <c r="BG9" s="162">
        <v>13</v>
      </c>
      <c r="BH9" s="162">
        <v>1645</v>
      </c>
      <c r="BI9" s="162">
        <v>688</v>
      </c>
      <c r="BJ9" s="162">
        <v>326</v>
      </c>
      <c r="BK9" s="97"/>
      <c r="BL9" s="97"/>
      <c r="BM9" s="97"/>
      <c r="BN9" s="97"/>
    </row>
    <row r="10" spans="1:66" ht="12.75">
      <c r="A10" s="79" t="s">
        <v>585</v>
      </c>
      <c r="B10" s="79" t="s">
        <v>336</v>
      </c>
      <c r="C10" s="79" t="s">
        <v>226</v>
      </c>
      <c r="D10" s="99">
        <v>9592</v>
      </c>
      <c r="E10" s="99">
        <v>1390</v>
      </c>
      <c r="F10" s="99" t="s">
        <v>382</v>
      </c>
      <c r="G10" s="99">
        <v>41</v>
      </c>
      <c r="H10" s="99">
        <v>32</v>
      </c>
      <c r="I10" s="99">
        <v>162</v>
      </c>
      <c r="J10" s="99">
        <v>901</v>
      </c>
      <c r="K10" s="99">
        <v>14</v>
      </c>
      <c r="L10" s="99">
        <v>1840</v>
      </c>
      <c r="M10" s="99">
        <v>617</v>
      </c>
      <c r="N10" s="99">
        <v>302</v>
      </c>
      <c r="O10" s="99">
        <v>199</v>
      </c>
      <c r="P10" s="159">
        <v>199</v>
      </c>
      <c r="Q10" s="99">
        <v>25</v>
      </c>
      <c r="R10" s="99">
        <v>42</v>
      </c>
      <c r="S10" s="99">
        <v>56</v>
      </c>
      <c r="T10" s="99">
        <v>28</v>
      </c>
      <c r="U10" s="99" t="s">
        <v>609</v>
      </c>
      <c r="V10" s="99">
        <v>30</v>
      </c>
      <c r="W10" s="99">
        <v>46</v>
      </c>
      <c r="X10" s="99">
        <v>41</v>
      </c>
      <c r="Y10" s="99">
        <v>107</v>
      </c>
      <c r="Z10" s="99">
        <v>36</v>
      </c>
      <c r="AA10" s="99" t="s">
        <v>609</v>
      </c>
      <c r="AB10" s="99" t="s">
        <v>609</v>
      </c>
      <c r="AC10" s="99" t="s">
        <v>609</v>
      </c>
      <c r="AD10" s="98" t="s">
        <v>358</v>
      </c>
      <c r="AE10" s="100">
        <v>0.14491242702251877</v>
      </c>
      <c r="AF10" s="100">
        <v>0.07</v>
      </c>
      <c r="AG10" s="98">
        <v>427.4395329441201</v>
      </c>
      <c r="AH10" s="98">
        <v>333.6113427856547</v>
      </c>
      <c r="AI10" s="100">
        <v>0.017</v>
      </c>
      <c r="AJ10" s="100">
        <v>0.768116</v>
      </c>
      <c r="AK10" s="100">
        <v>0.7</v>
      </c>
      <c r="AL10" s="100">
        <v>0.78398</v>
      </c>
      <c r="AM10" s="100">
        <v>0.588179</v>
      </c>
      <c r="AN10" s="100">
        <v>0.575238</v>
      </c>
      <c r="AO10" s="98">
        <v>2074.6455379482904</v>
      </c>
      <c r="AP10" s="158">
        <v>1.157341003</v>
      </c>
      <c r="AQ10" s="100">
        <v>0.12562814070351758</v>
      </c>
      <c r="AR10" s="100">
        <v>0.5952380952380952</v>
      </c>
      <c r="AS10" s="98">
        <v>583.8198498748958</v>
      </c>
      <c r="AT10" s="98">
        <v>291.9099249374479</v>
      </c>
      <c r="AU10" s="98" t="s">
        <v>609</v>
      </c>
      <c r="AV10" s="98">
        <v>312.7606338615513</v>
      </c>
      <c r="AW10" s="98">
        <v>479.5663052543787</v>
      </c>
      <c r="AX10" s="98">
        <v>427.4395329441201</v>
      </c>
      <c r="AY10" s="98">
        <v>1115.5129274395329</v>
      </c>
      <c r="AZ10" s="98">
        <v>375.31276063386156</v>
      </c>
      <c r="BA10" s="100" t="s">
        <v>609</v>
      </c>
      <c r="BB10" s="100" t="s">
        <v>609</v>
      </c>
      <c r="BC10" s="100" t="s">
        <v>609</v>
      </c>
      <c r="BD10" s="158">
        <v>1.00211937</v>
      </c>
      <c r="BE10" s="158">
        <v>1.329794922</v>
      </c>
      <c r="BF10" s="162">
        <v>1173</v>
      </c>
      <c r="BG10" s="162">
        <v>20</v>
      </c>
      <c r="BH10" s="162">
        <v>2347</v>
      </c>
      <c r="BI10" s="162">
        <v>1049</v>
      </c>
      <c r="BJ10" s="162">
        <v>525</v>
      </c>
      <c r="BK10" s="97"/>
      <c r="BL10" s="97"/>
      <c r="BM10" s="97"/>
      <c r="BN10" s="97"/>
    </row>
    <row r="11" spans="1:66" ht="12.75">
      <c r="A11" s="79" t="s">
        <v>564</v>
      </c>
      <c r="B11" s="79" t="s">
        <v>308</v>
      </c>
      <c r="C11" s="79" t="s">
        <v>226</v>
      </c>
      <c r="D11" s="99">
        <v>7801</v>
      </c>
      <c r="E11" s="99">
        <v>1299</v>
      </c>
      <c r="F11" s="99" t="s">
        <v>382</v>
      </c>
      <c r="G11" s="99">
        <v>29</v>
      </c>
      <c r="H11" s="99">
        <v>22</v>
      </c>
      <c r="I11" s="99">
        <v>169</v>
      </c>
      <c r="J11" s="99">
        <v>823</v>
      </c>
      <c r="K11" s="99">
        <v>719</v>
      </c>
      <c r="L11" s="99">
        <v>1533</v>
      </c>
      <c r="M11" s="99">
        <v>612</v>
      </c>
      <c r="N11" s="99">
        <v>300</v>
      </c>
      <c r="O11" s="99">
        <v>149</v>
      </c>
      <c r="P11" s="159">
        <v>149</v>
      </c>
      <c r="Q11" s="99">
        <v>12</v>
      </c>
      <c r="R11" s="99">
        <v>23</v>
      </c>
      <c r="S11" s="99">
        <v>23</v>
      </c>
      <c r="T11" s="99">
        <v>31</v>
      </c>
      <c r="U11" s="99" t="s">
        <v>609</v>
      </c>
      <c r="V11" s="99">
        <v>24</v>
      </c>
      <c r="W11" s="99">
        <v>50</v>
      </c>
      <c r="X11" s="99">
        <v>45</v>
      </c>
      <c r="Y11" s="99">
        <v>66</v>
      </c>
      <c r="Z11" s="99">
        <v>35</v>
      </c>
      <c r="AA11" s="99" t="s">
        <v>609</v>
      </c>
      <c r="AB11" s="99" t="s">
        <v>609</v>
      </c>
      <c r="AC11" s="99" t="s">
        <v>609</v>
      </c>
      <c r="AD11" s="98" t="s">
        <v>358</v>
      </c>
      <c r="AE11" s="100">
        <v>0.1665171131906166</v>
      </c>
      <c r="AF11" s="100">
        <v>0.05</v>
      </c>
      <c r="AG11" s="98">
        <v>371.74721189591077</v>
      </c>
      <c r="AH11" s="98">
        <v>282.01512626586333</v>
      </c>
      <c r="AI11" s="100">
        <v>0.022000000000000002</v>
      </c>
      <c r="AJ11" s="100">
        <v>0.794402</v>
      </c>
      <c r="AK11" s="100">
        <v>0.798002</v>
      </c>
      <c r="AL11" s="100">
        <v>0.78777</v>
      </c>
      <c r="AM11" s="100">
        <v>0.592449</v>
      </c>
      <c r="AN11" s="100">
        <v>0.60241</v>
      </c>
      <c r="AO11" s="98">
        <v>1910.0115369824382</v>
      </c>
      <c r="AP11" s="158">
        <v>0.9870346832</v>
      </c>
      <c r="AQ11" s="100">
        <v>0.08053691275167785</v>
      </c>
      <c r="AR11" s="100">
        <v>0.5217391304347826</v>
      </c>
      <c r="AS11" s="98">
        <v>294.8339956415844</v>
      </c>
      <c r="AT11" s="98">
        <v>397.3849506473529</v>
      </c>
      <c r="AU11" s="98" t="s">
        <v>609</v>
      </c>
      <c r="AV11" s="98">
        <v>307.6528650173055</v>
      </c>
      <c r="AW11" s="98">
        <v>640.943468786053</v>
      </c>
      <c r="AX11" s="98">
        <v>576.8491219074477</v>
      </c>
      <c r="AY11" s="98">
        <v>846.04537879759</v>
      </c>
      <c r="AZ11" s="98">
        <v>448.6604281502371</v>
      </c>
      <c r="BA11" s="100" t="s">
        <v>609</v>
      </c>
      <c r="BB11" s="100" t="s">
        <v>609</v>
      </c>
      <c r="BC11" s="100" t="s">
        <v>609</v>
      </c>
      <c r="BD11" s="158">
        <v>0.8349143982</v>
      </c>
      <c r="BE11" s="158">
        <v>1.158853073</v>
      </c>
      <c r="BF11" s="162">
        <v>1036</v>
      </c>
      <c r="BG11" s="162">
        <v>901</v>
      </c>
      <c r="BH11" s="162">
        <v>1946</v>
      </c>
      <c r="BI11" s="162">
        <v>1033</v>
      </c>
      <c r="BJ11" s="162">
        <v>498</v>
      </c>
      <c r="BK11" s="97"/>
      <c r="BL11" s="97"/>
      <c r="BM11" s="97"/>
      <c r="BN11" s="97"/>
    </row>
    <row r="12" spans="1:66" ht="12.75">
      <c r="A12" s="79" t="s">
        <v>581</v>
      </c>
      <c r="B12" s="79" t="s">
        <v>329</v>
      </c>
      <c r="C12" s="79" t="s">
        <v>226</v>
      </c>
      <c r="D12" s="99">
        <v>4678</v>
      </c>
      <c r="E12" s="99">
        <v>756</v>
      </c>
      <c r="F12" s="99" t="s">
        <v>381</v>
      </c>
      <c r="G12" s="99">
        <v>29</v>
      </c>
      <c r="H12" s="99">
        <v>7</v>
      </c>
      <c r="I12" s="99">
        <v>93</v>
      </c>
      <c r="J12" s="99">
        <v>471</v>
      </c>
      <c r="K12" s="99">
        <v>7</v>
      </c>
      <c r="L12" s="99">
        <v>848</v>
      </c>
      <c r="M12" s="99">
        <v>303</v>
      </c>
      <c r="N12" s="99">
        <v>146</v>
      </c>
      <c r="O12" s="99">
        <v>53</v>
      </c>
      <c r="P12" s="159">
        <v>53</v>
      </c>
      <c r="Q12" s="99">
        <v>11</v>
      </c>
      <c r="R12" s="99">
        <v>25</v>
      </c>
      <c r="S12" s="99">
        <v>15</v>
      </c>
      <c r="T12" s="99">
        <v>9</v>
      </c>
      <c r="U12" s="99" t="s">
        <v>609</v>
      </c>
      <c r="V12" s="99">
        <v>6</v>
      </c>
      <c r="W12" s="99">
        <v>27</v>
      </c>
      <c r="X12" s="99">
        <v>16</v>
      </c>
      <c r="Y12" s="99">
        <v>51</v>
      </c>
      <c r="Z12" s="99">
        <v>32</v>
      </c>
      <c r="AA12" s="99" t="s">
        <v>609</v>
      </c>
      <c r="AB12" s="99" t="s">
        <v>609</v>
      </c>
      <c r="AC12" s="99" t="s">
        <v>609</v>
      </c>
      <c r="AD12" s="98" t="s">
        <v>358</v>
      </c>
      <c r="AE12" s="100">
        <v>0.1616075245831552</v>
      </c>
      <c r="AF12" s="100">
        <v>0.13</v>
      </c>
      <c r="AG12" s="98">
        <v>619.9230440359128</v>
      </c>
      <c r="AH12" s="98">
        <v>149.6365968362548</v>
      </c>
      <c r="AI12" s="100">
        <v>0.02</v>
      </c>
      <c r="AJ12" s="100">
        <v>0.814879</v>
      </c>
      <c r="AK12" s="100">
        <v>0.875</v>
      </c>
      <c r="AL12" s="100">
        <v>0.764653</v>
      </c>
      <c r="AM12" s="100">
        <v>0.550909</v>
      </c>
      <c r="AN12" s="100">
        <v>0.559387</v>
      </c>
      <c r="AO12" s="98">
        <v>1132.9628046173577</v>
      </c>
      <c r="AP12" s="158">
        <v>0.6093303680000001</v>
      </c>
      <c r="AQ12" s="100">
        <v>0.20754716981132076</v>
      </c>
      <c r="AR12" s="100">
        <v>0.44</v>
      </c>
      <c r="AS12" s="98">
        <v>320.6498503634032</v>
      </c>
      <c r="AT12" s="98">
        <v>192.3899102180419</v>
      </c>
      <c r="AU12" s="98" t="s">
        <v>609</v>
      </c>
      <c r="AV12" s="98">
        <v>128.25994014536127</v>
      </c>
      <c r="AW12" s="98">
        <v>577.1697306541257</v>
      </c>
      <c r="AX12" s="98">
        <v>342.0265070542967</v>
      </c>
      <c r="AY12" s="98">
        <v>1090.2094912355708</v>
      </c>
      <c r="AZ12" s="98">
        <v>684.0530141085934</v>
      </c>
      <c r="BA12" s="100" t="s">
        <v>609</v>
      </c>
      <c r="BB12" s="100" t="s">
        <v>609</v>
      </c>
      <c r="BC12" s="100" t="s">
        <v>609</v>
      </c>
      <c r="BD12" s="158">
        <v>0.4564302826</v>
      </c>
      <c r="BE12" s="158">
        <v>0.7970191192999999</v>
      </c>
      <c r="BF12" s="162">
        <v>578</v>
      </c>
      <c r="BG12" s="162">
        <v>8</v>
      </c>
      <c r="BH12" s="162">
        <v>1109</v>
      </c>
      <c r="BI12" s="162">
        <v>550</v>
      </c>
      <c r="BJ12" s="162">
        <v>261</v>
      </c>
      <c r="BK12" s="97"/>
      <c r="BL12" s="97"/>
      <c r="BM12" s="97"/>
      <c r="BN12" s="97"/>
    </row>
    <row r="13" spans="1:66" ht="12.75">
      <c r="A13" s="79" t="s">
        <v>580</v>
      </c>
      <c r="B13" s="79" t="s">
        <v>328</v>
      </c>
      <c r="C13" s="79" t="s">
        <v>226</v>
      </c>
      <c r="D13" s="99">
        <v>3980</v>
      </c>
      <c r="E13" s="99">
        <v>613</v>
      </c>
      <c r="F13" s="99" t="s">
        <v>381</v>
      </c>
      <c r="G13" s="99">
        <v>23</v>
      </c>
      <c r="H13" s="99">
        <v>13</v>
      </c>
      <c r="I13" s="99">
        <v>59</v>
      </c>
      <c r="J13" s="99">
        <v>259</v>
      </c>
      <c r="K13" s="99" t="s">
        <v>609</v>
      </c>
      <c r="L13" s="99">
        <v>671</v>
      </c>
      <c r="M13" s="99">
        <v>182</v>
      </c>
      <c r="N13" s="99">
        <v>83</v>
      </c>
      <c r="O13" s="99">
        <v>48</v>
      </c>
      <c r="P13" s="159">
        <v>48</v>
      </c>
      <c r="Q13" s="99">
        <v>7</v>
      </c>
      <c r="R13" s="99">
        <v>18</v>
      </c>
      <c r="S13" s="99">
        <v>11</v>
      </c>
      <c r="T13" s="99">
        <v>6</v>
      </c>
      <c r="U13" s="99" t="s">
        <v>609</v>
      </c>
      <c r="V13" s="99">
        <v>10</v>
      </c>
      <c r="W13" s="99">
        <v>14</v>
      </c>
      <c r="X13" s="99">
        <v>14</v>
      </c>
      <c r="Y13" s="99">
        <v>37</v>
      </c>
      <c r="Z13" s="99">
        <v>26</v>
      </c>
      <c r="AA13" s="99" t="s">
        <v>609</v>
      </c>
      <c r="AB13" s="99" t="s">
        <v>609</v>
      </c>
      <c r="AC13" s="99" t="s">
        <v>609</v>
      </c>
      <c r="AD13" s="98" t="s">
        <v>358</v>
      </c>
      <c r="AE13" s="100">
        <v>0.15402010050251255</v>
      </c>
      <c r="AF13" s="100">
        <v>0.14</v>
      </c>
      <c r="AG13" s="98">
        <v>577.8894472361809</v>
      </c>
      <c r="AH13" s="98">
        <v>326.63316582914575</v>
      </c>
      <c r="AI13" s="100">
        <v>0.015</v>
      </c>
      <c r="AJ13" s="100">
        <v>0.6475</v>
      </c>
      <c r="AK13" s="100" t="s">
        <v>609</v>
      </c>
      <c r="AL13" s="100">
        <v>0.738174</v>
      </c>
      <c r="AM13" s="100">
        <v>0.43026</v>
      </c>
      <c r="AN13" s="100">
        <v>0.410891</v>
      </c>
      <c r="AO13" s="98">
        <v>1206.0301507537688</v>
      </c>
      <c r="AP13" s="158">
        <v>0.6671195984</v>
      </c>
      <c r="AQ13" s="100">
        <v>0.14583333333333334</v>
      </c>
      <c r="AR13" s="100">
        <v>0.3888888888888889</v>
      </c>
      <c r="AS13" s="98">
        <v>276.3819095477387</v>
      </c>
      <c r="AT13" s="98">
        <v>150.7537688442211</v>
      </c>
      <c r="AU13" s="98" t="s">
        <v>609</v>
      </c>
      <c r="AV13" s="98">
        <v>251.25628140703517</v>
      </c>
      <c r="AW13" s="98">
        <v>351.75879396984925</v>
      </c>
      <c r="AX13" s="98">
        <v>351.75879396984925</v>
      </c>
      <c r="AY13" s="98">
        <v>929.6482412060302</v>
      </c>
      <c r="AZ13" s="98">
        <v>653.2663316582915</v>
      </c>
      <c r="BA13" s="100" t="s">
        <v>609</v>
      </c>
      <c r="BB13" s="100" t="s">
        <v>609</v>
      </c>
      <c r="BC13" s="100" t="s">
        <v>609</v>
      </c>
      <c r="BD13" s="158">
        <v>0.49188129429999994</v>
      </c>
      <c r="BE13" s="158">
        <v>0.8845037842000001</v>
      </c>
      <c r="BF13" s="162">
        <v>400</v>
      </c>
      <c r="BG13" s="162" t="s">
        <v>609</v>
      </c>
      <c r="BH13" s="162">
        <v>909</v>
      </c>
      <c r="BI13" s="162">
        <v>423</v>
      </c>
      <c r="BJ13" s="162">
        <v>202</v>
      </c>
      <c r="BK13" s="97"/>
      <c r="BL13" s="97"/>
      <c r="BM13" s="97"/>
      <c r="BN13" s="97"/>
    </row>
    <row r="14" spans="1:66" ht="12.75">
      <c r="A14" s="79" t="s">
        <v>578</v>
      </c>
      <c r="B14" s="79" t="s">
        <v>326</v>
      </c>
      <c r="C14" s="79" t="s">
        <v>226</v>
      </c>
      <c r="D14" s="99">
        <v>4534</v>
      </c>
      <c r="E14" s="99">
        <v>863</v>
      </c>
      <c r="F14" s="99" t="s">
        <v>382</v>
      </c>
      <c r="G14" s="99">
        <v>21</v>
      </c>
      <c r="H14" s="99">
        <v>16</v>
      </c>
      <c r="I14" s="99">
        <v>94</v>
      </c>
      <c r="J14" s="99">
        <v>533</v>
      </c>
      <c r="K14" s="99">
        <v>503</v>
      </c>
      <c r="L14" s="99">
        <v>907</v>
      </c>
      <c r="M14" s="99">
        <v>395</v>
      </c>
      <c r="N14" s="99">
        <v>205</v>
      </c>
      <c r="O14" s="99">
        <v>172</v>
      </c>
      <c r="P14" s="159">
        <v>172</v>
      </c>
      <c r="Q14" s="99">
        <v>14</v>
      </c>
      <c r="R14" s="99">
        <v>25</v>
      </c>
      <c r="S14" s="99">
        <v>27</v>
      </c>
      <c r="T14" s="99">
        <v>41</v>
      </c>
      <c r="U14" s="99">
        <v>7</v>
      </c>
      <c r="V14" s="99">
        <v>25</v>
      </c>
      <c r="W14" s="99">
        <v>30</v>
      </c>
      <c r="X14" s="99">
        <v>26</v>
      </c>
      <c r="Y14" s="99">
        <v>48</v>
      </c>
      <c r="Z14" s="99">
        <v>25</v>
      </c>
      <c r="AA14" s="99" t="s">
        <v>609</v>
      </c>
      <c r="AB14" s="99" t="s">
        <v>609</v>
      </c>
      <c r="AC14" s="99" t="s">
        <v>609</v>
      </c>
      <c r="AD14" s="98" t="s">
        <v>358</v>
      </c>
      <c r="AE14" s="100">
        <v>0.19033965593295105</v>
      </c>
      <c r="AF14" s="100">
        <v>0.06</v>
      </c>
      <c r="AG14" s="98">
        <v>463.1671812968681</v>
      </c>
      <c r="AH14" s="98">
        <v>352.88928098809</v>
      </c>
      <c r="AI14" s="100">
        <v>0.021</v>
      </c>
      <c r="AJ14" s="100">
        <v>0.807576</v>
      </c>
      <c r="AK14" s="100">
        <v>0.790881</v>
      </c>
      <c r="AL14" s="100">
        <v>0.837488</v>
      </c>
      <c r="AM14" s="100">
        <v>0.63099</v>
      </c>
      <c r="AN14" s="100">
        <v>0.646688</v>
      </c>
      <c r="AO14" s="98">
        <v>3793.5597706219673</v>
      </c>
      <c r="AP14" s="158">
        <v>1.837211304</v>
      </c>
      <c r="AQ14" s="100">
        <v>0.08139534883720931</v>
      </c>
      <c r="AR14" s="100">
        <v>0.56</v>
      </c>
      <c r="AS14" s="98">
        <v>595.5006616674018</v>
      </c>
      <c r="AT14" s="98">
        <v>904.2787825319806</v>
      </c>
      <c r="AU14" s="98">
        <v>154.38906043228937</v>
      </c>
      <c r="AV14" s="98">
        <v>551.3895015438906</v>
      </c>
      <c r="AW14" s="98">
        <v>661.6674018526687</v>
      </c>
      <c r="AX14" s="98">
        <v>573.4450816056462</v>
      </c>
      <c r="AY14" s="98">
        <v>1058.66784296427</v>
      </c>
      <c r="AZ14" s="98">
        <v>551.3895015438906</v>
      </c>
      <c r="BA14" s="100" t="s">
        <v>609</v>
      </c>
      <c r="BB14" s="100" t="s">
        <v>609</v>
      </c>
      <c r="BC14" s="100" t="s">
        <v>609</v>
      </c>
      <c r="BD14" s="158">
        <v>1.572900238</v>
      </c>
      <c r="BE14" s="158">
        <v>2.133226624</v>
      </c>
      <c r="BF14" s="162">
        <v>660</v>
      </c>
      <c r="BG14" s="162">
        <v>636</v>
      </c>
      <c r="BH14" s="162">
        <v>1083</v>
      </c>
      <c r="BI14" s="162">
        <v>626</v>
      </c>
      <c r="BJ14" s="162">
        <v>317</v>
      </c>
      <c r="BK14" s="97"/>
      <c r="BL14" s="97"/>
      <c r="BM14" s="97"/>
      <c r="BN14" s="97"/>
    </row>
    <row r="15" spans="1:66" ht="12.75">
      <c r="A15" s="79" t="s">
        <v>593</v>
      </c>
      <c r="B15" s="79" t="s">
        <v>345</v>
      </c>
      <c r="C15" s="79" t="s">
        <v>226</v>
      </c>
      <c r="D15" s="99">
        <v>8308</v>
      </c>
      <c r="E15" s="99">
        <v>766</v>
      </c>
      <c r="F15" s="99" t="s">
        <v>382</v>
      </c>
      <c r="G15" s="99">
        <v>29</v>
      </c>
      <c r="H15" s="99">
        <v>6</v>
      </c>
      <c r="I15" s="99">
        <v>117</v>
      </c>
      <c r="J15" s="99">
        <v>573</v>
      </c>
      <c r="K15" s="99" t="s">
        <v>609</v>
      </c>
      <c r="L15" s="99">
        <v>1843</v>
      </c>
      <c r="M15" s="99">
        <v>377</v>
      </c>
      <c r="N15" s="99">
        <v>210</v>
      </c>
      <c r="O15" s="99">
        <v>169</v>
      </c>
      <c r="P15" s="159">
        <v>169</v>
      </c>
      <c r="Q15" s="99">
        <v>12</v>
      </c>
      <c r="R15" s="99">
        <v>25</v>
      </c>
      <c r="S15" s="99">
        <v>52</v>
      </c>
      <c r="T15" s="99">
        <v>16</v>
      </c>
      <c r="U15" s="99" t="s">
        <v>609</v>
      </c>
      <c r="V15" s="99">
        <v>40</v>
      </c>
      <c r="W15" s="99">
        <v>37</v>
      </c>
      <c r="X15" s="99">
        <v>37</v>
      </c>
      <c r="Y15" s="99">
        <v>66</v>
      </c>
      <c r="Z15" s="99">
        <v>18</v>
      </c>
      <c r="AA15" s="99" t="s">
        <v>609</v>
      </c>
      <c r="AB15" s="99" t="s">
        <v>609</v>
      </c>
      <c r="AC15" s="99" t="s">
        <v>609</v>
      </c>
      <c r="AD15" s="98" t="s">
        <v>358</v>
      </c>
      <c r="AE15" s="100">
        <v>0.09220028887818969</v>
      </c>
      <c r="AF15" s="100">
        <v>0.05</v>
      </c>
      <c r="AG15" s="98">
        <v>349.0611458834858</v>
      </c>
      <c r="AH15" s="98">
        <v>72.21954742416948</v>
      </c>
      <c r="AI15" s="100">
        <v>0.013999999999999999</v>
      </c>
      <c r="AJ15" s="100">
        <v>0.674912</v>
      </c>
      <c r="AK15" s="100" t="s">
        <v>609</v>
      </c>
      <c r="AL15" s="100">
        <v>0.801304</v>
      </c>
      <c r="AM15" s="100">
        <v>0.585404</v>
      </c>
      <c r="AN15" s="100">
        <v>0.621302</v>
      </c>
      <c r="AO15" s="98">
        <v>2034.1839191141069</v>
      </c>
      <c r="AP15" s="158">
        <v>1.316274414</v>
      </c>
      <c r="AQ15" s="100">
        <v>0.07100591715976332</v>
      </c>
      <c r="AR15" s="100">
        <v>0.48</v>
      </c>
      <c r="AS15" s="98">
        <v>625.9027443428021</v>
      </c>
      <c r="AT15" s="98">
        <v>192.58545979778526</v>
      </c>
      <c r="AU15" s="98" t="s">
        <v>609</v>
      </c>
      <c r="AV15" s="98">
        <v>481.46364949446314</v>
      </c>
      <c r="AW15" s="98">
        <v>445.35387578237845</v>
      </c>
      <c r="AX15" s="98">
        <v>445.35387578237845</v>
      </c>
      <c r="AY15" s="98">
        <v>794.4150216658642</v>
      </c>
      <c r="AZ15" s="98">
        <v>216.65864227250842</v>
      </c>
      <c r="BA15" s="100" t="s">
        <v>609</v>
      </c>
      <c r="BB15" s="100" t="s">
        <v>609</v>
      </c>
      <c r="BC15" s="100" t="s">
        <v>609</v>
      </c>
      <c r="BD15" s="158">
        <v>1.125301132</v>
      </c>
      <c r="BE15" s="158">
        <v>1.530370483</v>
      </c>
      <c r="BF15" s="162">
        <v>849</v>
      </c>
      <c r="BG15" s="162" t="s">
        <v>609</v>
      </c>
      <c r="BH15" s="162">
        <v>2300</v>
      </c>
      <c r="BI15" s="162">
        <v>644</v>
      </c>
      <c r="BJ15" s="162">
        <v>338</v>
      </c>
      <c r="BK15" s="97"/>
      <c r="BL15" s="97"/>
      <c r="BM15" s="97"/>
      <c r="BN15" s="97"/>
    </row>
    <row r="16" spans="1:66" ht="12.75">
      <c r="A16" s="79" t="s">
        <v>552</v>
      </c>
      <c r="B16" s="79" t="s">
        <v>293</v>
      </c>
      <c r="C16" s="79" t="s">
        <v>226</v>
      </c>
      <c r="D16" s="99">
        <v>12557</v>
      </c>
      <c r="E16" s="99">
        <v>2033</v>
      </c>
      <c r="F16" s="99" t="s">
        <v>380</v>
      </c>
      <c r="G16" s="99">
        <v>51</v>
      </c>
      <c r="H16" s="99">
        <v>24</v>
      </c>
      <c r="I16" s="99">
        <v>223</v>
      </c>
      <c r="J16" s="99">
        <v>1272</v>
      </c>
      <c r="K16" s="99">
        <v>14</v>
      </c>
      <c r="L16" s="99">
        <v>2362</v>
      </c>
      <c r="M16" s="99">
        <v>905</v>
      </c>
      <c r="N16" s="99">
        <v>465</v>
      </c>
      <c r="O16" s="99">
        <v>238</v>
      </c>
      <c r="P16" s="159">
        <v>238</v>
      </c>
      <c r="Q16" s="99">
        <v>22</v>
      </c>
      <c r="R16" s="99">
        <v>47</v>
      </c>
      <c r="S16" s="99">
        <v>52</v>
      </c>
      <c r="T16" s="99">
        <v>39</v>
      </c>
      <c r="U16" s="99">
        <v>9</v>
      </c>
      <c r="V16" s="99">
        <v>34</v>
      </c>
      <c r="W16" s="99">
        <v>84</v>
      </c>
      <c r="X16" s="99">
        <v>54</v>
      </c>
      <c r="Y16" s="99">
        <v>144</v>
      </c>
      <c r="Z16" s="99">
        <v>49</v>
      </c>
      <c r="AA16" s="99" t="s">
        <v>609</v>
      </c>
      <c r="AB16" s="99" t="s">
        <v>609</v>
      </c>
      <c r="AC16" s="99" t="s">
        <v>609</v>
      </c>
      <c r="AD16" s="98" t="s">
        <v>358</v>
      </c>
      <c r="AE16" s="100">
        <v>0.16190172811977382</v>
      </c>
      <c r="AF16" s="100">
        <v>0.11</v>
      </c>
      <c r="AG16" s="98">
        <v>406.1479652783308</v>
      </c>
      <c r="AH16" s="98">
        <v>191.12845424862627</v>
      </c>
      <c r="AI16" s="100">
        <v>0.018000000000000002</v>
      </c>
      <c r="AJ16" s="100">
        <v>0.766727</v>
      </c>
      <c r="AK16" s="100">
        <v>0.466667</v>
      </c>
      <c r="AL16" s="100">
        <v>0.781343</v>
      </c>
      <c r="AM16" s="100">
        <v>0.565272</v>
      </c>
      <c r="AN16" s="100">
        <v>0.610236</v>
      </c>
      <c r="AO16" s="98">
        <v>1895.3571712988771</v>
      </c>
      <c r="AP16" s="158">
        <v>1.021692047</v>
      </c>
      <c r="AQ16" s="100">
        <v>0.09243697478991597</v>
      </c>
      <c r="AR16" s="100">
        <v>0.46808510638297873</v>
      </c>
      <c r="AS16" s="98">
        <v>414.1116508720236</v>
      </c>
      <c r="AT16" s="98">
        <v>310.5837381540177</v>
      </c>
      <c r="AU16" s="98">
        <v>71.67317034323484</v>
      </c>
      <c r="AV16" s="98">
        <v>270.76531018555386</v>
      </c>
      <c r="AW16" s="98">
        <v>668.949589870192</v>
      </c>
      <c r="AX16" s="98">
        <v>430.0390220594091</v>
      </c>
      <c r="AY16" s="98">
        <v>1146.7707254917575</v>
      </c>
      <c r="AZ16" s="98">
        <v>390.22059409094527</v>
      </c>
      <c r="BA16" s="100" t="s">
        <v>609</v>
      </c>
      <c r="BB16" s="100" t="s">
        <v>609</v>
      </c>
      <c r="BC16" s="100" t="s">
        <v>609</v>
      </c>
      <c r="BD16" s="158">
        <v>0.8960031128</v>
      </c>
      <c r="BE16" s="158">
        <v>1.16007576</v>
      </c>
      <c r="BF16" s="162">
        <v>1659</v>
      </c>
      <c r="BG16" s="162">
        <v>30</v>
      </c>
      <c r="BH16" s="162">
        <v>3023</v>
      </c>
      <c r="BI16" s="162">
        <v>1601</v>
      </c>
      <c r="BJ16" s="162">
        <v>762</v>
      </c>
      <c r="BK16" s="97"/>
      <c r="BL16" s="97"/>
      <c r="BM16" s="97"/>
      <c r="BN16" s="97"/>
    </row>
    <row r="17" spans="1:66" ht="12.75">
      <c r="A17" s="79" t="s">
        <v>583</v>
      </c>
      <c r="B17" s="79" t="s">
        <v>334</v>
      </c>
      <c r="C17" s="79" t="s">
        <v>226</v>
      </c>
      <c r="D17" s="99">
        <v>5907</v>
      </c>
      <c r="E17" s="99">
        <v>1091</v>
      </c>
      <c r="F17" s="99" t="s">
        <v>382</v>
      </c>
      <c r="G17" s="99">
        <v>31</v>
      </c>
      <c r="H17" s="99">
        <v>10</v>
      </c>
      <c r="I17" s="99">
        <v>130</v>
      </c>
      <c r="J17" s="99">
        <v>712</v>
      </c>
      <c r="K17" s="99">
        <v>680</v>
      </c>
      <c r="L17" s="99">
        <v>1265</v>
      </c>
      <c r="M17" s="99">
        <v>532</v>
      </c>
      <c r="N17" s="99">
        <v>285</v>
      </c>
      <c r="O17" s="99">
        <v>66</v>
      </c>
      <c r="P17" s="159">
        <v>66</v>
      </c>
      <c r="Q17" s="99">
        <v>7</v>
      </c>
      <c r="R17" s="99">
        <v>33</v>
      </c>
      <c r="S17" s="99">
        <v>16</v>
      </c>
      <c r="T17" s="99">
        <v>13</v>
      </c>
      <c r="U17" s="99" t="s">
        <v>609</v>
      </c>
      <c r="V17" s="99">
        <v>15</v>
      </c>
      <c r="W17" s="99">
        <v>30</v>
      </c>
      <c r="X17" s="99">
        <v>21</v>
      </c>
      <c r="Y17" s="99">
        <v>41</v>
      </c>
      <c r="Z17" s="99">
        <v>27</v>
      </c>
      <c r="AA17" s="99" t="s">
        <v>609</v>
      </c>
      <c r="AB17" s="99" t="s">
        <v>609</v>
      </c>
      <c r="AC17" s="99" t="s">
        <v>609</v>
      </c>
      <c r="AD17" s="98" t="s">
        <v>358</v>
      </c>
      <c r="AE17" s="100">
        <v>0.1846961232436093</v>
      </c>
      <c r="AF17" s="100">
        <v>0.06</v>
      </c>
      <c r="AG17" s="98">
        <v>524.8010834603014</v>
      </c>
      <c r="AH17" s="98">
        <v>169.29067208396816</v>
      </c>
      <c r="AI17" s="100">
        <v>0.022000000000000002</v>
      </c>
      <c r="AJ17" s="100">
        <v>0.807256</v>
      </c>
      <c r="AK17" s="100">
        <v>0.786127</v>
      </c>
      <c r="AL17" s="100">
        <v>0.839416</v>
      </c>
      <c r="AM17" s="100">
        <v>0.634088</v>
      </c>
      <c r="AN17" s="100">
        <v>0.678571</v>
      </c>
      <c r="AO17" s="98">
        <v>1117.31843575419</v>
      </c>
      <c r="AP17" s="158">
        <v>0.5401431656</v>
      </c>
      <c r="AQ17" s="100">
        <v>0.10606060606060606</v>
      </c>
      <c r="AR17" s="100">
        <v>0.21212121212121213</v>
      </c>
      <c r="AS17" s="98">
        <v>270.86507533434906</v>
      </c>
      <c r="AT17" s="98">
        <v>220.07787370915864</v>
      </c>
      <c r="AU17" s="98" t="s">
        <v>609</v>
      </c>
      <c r="AV17" s="98">
        <v>253.93600812595227</v>
      </c>
      <c r="AW17" s="98">
        <v>507.87201625190454</v>
      </c>
      <c r="AX17" s="98">
        <v>355.51041137633314</v>
      </c>
      <c r="AY17" s="98">
        <v>694.0917555442695</v>
      </c>
      <c r="AZ17" s="98">
        <v>457.0848146267141</v>
      </c>
      <c r="BA17" s="100" t="s">
        <v>609</v>
      </c>
      <c r="BB17" s="100" t="s">
        <v>609</v>
      </c>
      <c r="BC17" s="100" t="s">
        <v>609</v>
      </c>
      <c r="BD17" s="158">
        <v>0.4177466965</v>
      </c>
      <c r="BE17" s="158">
        <v>0.687194519</v>
      </c>
      <c r="BF17" s="162">
        <v>882</v>
      </c>
      <c r="BG17" s="162">
        <v>865</v>
      </c>
      <c r="BH17" s="162">
        <v>1507</v>
      </c>
      <c r="BI17" s="162">
        <v>839</v>
      </c>
      <c r="BJ17" s="162">
        <v>420</v>
      </c>
      <c r="BK17" s="97"/>
      <c r="BL17" s="97"/>
      <c r="BM17" s="97"/>
      <c r="BN17" s="97"/>
    </row>
    <row r="18" spans="1:66" ht="12.75">
      <c r="A18" s="79" t="s">
        <v>584</v>
      </c>
      <c r="B18" s="79" t="s">
        <v>335</v>
      </c>
      <c r="C18" s="79" t="s">
        <v>226</v>
      </c>
      <c r="D18" s="99">
        <v>2467</v>
      </c>
      <c r="E18" s="99">
        <v>549</v>
      </c>
      <c r="F18" s="99" t="s">
        <v>380</v>
      </c>
      <c r="G18" s="99">
        <v>19</v>
      </c>
      <c r="H18" s="99">
        <v>10</v>
      </c>
      <c r="I18" s="99">
        <v>66</v>
      </c>
      <c r="J18" s="99">
        <v>300</v>
      </c>
      <c r="K18" s="99">
        <v>290</v>
      </c>
      <c r="L18" s="99">
        <v>433</v>
      </c>
      <c r="M18" s="99">
        <v>243</v>
      </c>
      <c r="N18" s="99">
        <v>138</v>
      </c>
      <c r="O18" s="99">
        <v>25</v>
      </c>
      <c r="P18" s="159">
        <v>25</v>
      </c>
      <c r="Q18" s="99" t="s">
        <v>609</v>
      </c>
      <c r="R18" s="99" t="s">
        <v>609</v>
      </c>
      <c r="S18" s="99">
        <v>13</v>
      </c>
      <c r="T18" s="99" t="s">
        <v>609</v>
      </c>
      <c r="U18" s="99" t="s">
        <v>609</v>
      </c>
      <c r="V18" s="99" t="s">
        <v>609</v>
      </c>
      <c r="W18" s="99">
        <v>10</v>
      </c>
      <c r="X18" s="99">
        <v>13</v>
      </c>
      <c r="Y18" s="99">
        <v>22</v>
      </c>
      <c r="Z18" s="99">
        <v>24</v>
      </c>
      <c r="AA18" s="99" t="s">
        <v>609</v>
      </c>
      <c r="AB18" s="99" t="s">
        <v>609</v>
      </c>
      <c r="AC18" s="99" t="s">
        <v>609</v>
      </c>
      <c r="AD18" s="98" t="s">
        <v>358</v>
      </c>
      <c r="AE18" s="100">
        <v>0.22253749493311714</v>
      </c>
      <c r="AF18" s="100">
        <v>0.1</v>
      </c>
      <c r="AG18" s="98">
        <v>770.1661937576004</v>
      </c>
      <c r="AH18" s="98">
        <v>405.35062829347385</v>
      </c>
      <c r="AI18" s="100">
        <v>0.027000000000000003</v>
      </c>
      <c r="AJ18" s="100">
        <v>0.78329</v>
      </c>
      <c r="AK18" s="100">
        <v>0.77957</v>
      </c>
      <c r="AL18" s="100">
        <v>0.76773</v>
      </c>
      <c r="AM18" s="100">
        <v>0.569087</v>
      </c>
      <c r="AN18" s="100">
        <v>0.597403</v>
      </c>
      <c r="AO18" s="98">
        <v>1013.3765707336846</v>
      </c>
      <c r="AP18" s="158">
        <v>0.4660007477</v>
      </c>
      <c r="AQ18" s="100" t="s">
        <v>609</v>
      </c>
      <c r="AR18" s="100" t="s">
        <v>609</v>
      </c>
      <c r="AS18" s="98">
        <v>526.955816781516</v>
      </c>
      <c r="AT18" s="98" t="s">
        <v>609</v>
      </c>
      <c r="AU18" s="98" t="s">
        <v>609</v>
      </c>
      <c r="AV18" s="98" t="s">
        <v>609</v>
      </c>
      <c r="AW18" s="98">
        <v>405.35062829347385</v>
      </c>
      <c r="AX18" s="98">
        <v>526.955816781516</v>
      </c>
      <c r="AY18" s="98">
        <v>891.7713822456425</v>
      </c>
      <c r="AZ18" s="98">
        <v>972.8415079043373</v>
      </c>
      <c r="BA18" s="100" t="s">
        <v>609</v>
      </c>
      <c r="BB18" s="100" t="s">
        <v>609</v>
      </c>
      <c r="BC18" s="100" t="s">
        <v>609</v>
      </c>
      <c r="BD18" s="158">
        <v>0.3015711212</v>
      </c>
      <c r="BE18" s="158">
        <v>0.6879090118000001</v>
      </c>
      <c r="BF18" s="162">
        <v>383</v>
      </c>
      <c r="BG18" s="162">
        <v>372</v>
      </c>
      <c r="BH18" s="162">
        <v>564</v>
      </c>
      <c r="BI18" s="162">
        <v>427</v>
      </c>
      <c r="BJ18" s="162">
        <v>231</v>
      </c>
      <c r="BK18" s="97"/>
      <c r="BL18" s="97"/>
      <c r="BM18" s="97"/>
      <c r="BN18" s="97"/>
    </row>
    <row r="19" spans="1:66" ht="12.75">
      <c r="A19" s="79" t="s">
        <v>617</v>
      </c>
      <c r="B19" s="79" t="s">
        <v>305</v>
      </c>
      <c r="C19" s="79" t="s">
        <v>226</v>
      </c>
      <c r="D19" s="99">
        <v>10589</v>
      </c>
      <c r="E19" s="99">
        <v>1742</v>
      </c>
      <c r="F19" s="99" t="s">
        <v>381</v>
      </c>
      <c r="G19" s="99">
        <v>61</v>
      </c>
      <c r="H19" s="99">
        <v>27</v>
      </c>
      <c r="I19" s="99">
        <v>235</v>
      </c>
      <c r="J19" s="99">
        <v>1070</v>
      </c>
      <c r="K19" s="99">
        <v>1032</v>
      </c>
      <c r="L19" s="99">
        <v>1952</v>
      </c>
      <c r="M19" s="99">
        <v>715</v>
      </c>
      <c r="N19" s="99">
        <v>368</v>
      </c>
      <c r="O19" s="99">
        <v>332</v>
      </c>
      <c r="P19" s="159">
        <v>332</v>
      </c>
      <c r="Q19" s="99">
        <v>29</v>
      </c>
      <c r="R19" s="99">
        <v>47</v>
      </c>
      <c r="S19" s="99">
        <v>73</v>
      </c>
      <c r="T19" s="99">
        <v>68</v>
      </c>
      <c r="U19" s="99">
        <v>18</v>
      </c>
      <c r="V19" s="99">
        <v>42</v>
      </c>
      <c r="W19" s="99">
        <v>17</v>
      </c>
      <c r="X19" s="99">
        <v>115</v>
      </c>
      <c r="Y19" s="99">
        <v>92</v>
      </c>
      <c r="Z19" s="99">
        <v>62</v>
      </c>
      <c r="AA19" s="99" t="s">
        <v>609</v>
      </c>
      <c r="AB19" s="99" t="s">
        <v>609</v>
      </c>
      <c r="AC19" s="99" t="s">
        <v>609</v>
      </c>
      <c r="AD19" s="98" t="s">
        <v>358</v>
      </c>
      <c r="AE19" s="100">
        <v>0.16451034091982245</v>
      </c>
      <c r="AF19" s="100">
        <v>0.12</v>
      </c>
      <c r="AG19" s="98">
        <v>576.0695060912268</v>
      </c>
      <c r="AH19" s="98">
        <v>254.98158466332987</v>
      </c>
      <c r="AI19" s="100">
        <v>0.022000000000000002</v>
      </c>
      <c r="AJ19" s="100">
        <v>0.832685</v>
      </c>
      <c r="AK19" s="100">
        <v>0.817102</v>
      </c>
      <c r="AL19" s="100">
        <v>0.769413</v>
      </c>
      <c r="AM19" s="100">
        <v>0.584628</v>
      </c>
      <c r="AN19" s="100">
        <v>0.582278</v>
      </c>
      <c r="AO19" s="98">
        <v>3135.3291151194635</v>
      </c>
      <c r="AP19" s="158">
        <v>1.685116119</v>
      </c>
      <c r="AQ19" s="100">
        <v>0.08734939759036145</v>
      </c>
      <c r="AR19" s="100">
        <v>0.6170212765957447</v>
      </c>
      <c r="AS19" s="98">
        <v>689.3946548304845</v>
      </c>
      <c r="AT19" s="98">
        <v>642.1758428557938</v>
      </c>
      <c r="AU19" s="98">
        <v>169.98772310888657</v>
      </c>
      <c r="AV19" s="98">
        <v>396.638020587402</v>
      </c>
      <c r="AW19" s="98">
        <v>160.54396071394845</v>
      </c>
      <c r="AX19" s="98">
        <v>1086.0326754178866</v>
      </c>
      <c r="AY19" s="98">
        <v>868.8261403343092</v>
      </c>
      <c r="AZ19" s="98">
        <v>585.5132684861649</v>
      </c>
      <c r="BA19" s="100" t="s">
        <v>609</v>
      </c>
      <c r="BB19" s="100" t="s">
        <v>609</v>
      </c>
      <c r="BC19" s="100" t="s">
        <v>609</v>
      </c>
      <c r="BD19" s="158">
        <v>1.508707581</v>
      </c>
      <c r="BE19" s="158">
        <v>1.876486053</v>
      </c>
      <c r="BF19" s="162">
        <v>1285</v>
      </c>
      <c r="BG19" s="162">
        <v>1263</v>
      </c>
      <c r="BH19" s="162">
        <v>2537</v>
      </c>
      <c r="BI19" s="162">
        <v>1223</v>
      </c>
      <c r="BJ19" s="162">
        <v>632</v>
      </c>
      <c r="BK19" s="97"/>
      <c r="BL19" s="97"/>
      <c r="BM19" s="97"/>
      <c r="BN19" s="97"/>
    </row>
    <row r="20" spans="1:66" ht="12.75">
      <c r="A20" s="79" t="s">
        <v>623</v>
      </c>
      <c r="B20" s="79" t="s">
        <v>332</v>
      </c>
      <c r="C20" s="79" t="s">
        <v>226</v>
      </c>
      <c r="D20" s="99">
        <v>5759</v>
      </c>
      <c r="E20" s="99">
        <v>868</v>
      </c>
      <c r="F20" s="99" t="s">
        <v>382</v>
      </c>
      <c r="G20" s="99">
        <v>24</v>
      </c>
      <c r="H20" s="99">
        <v>11</v>
      </c>
      <c r="I20" s="99">
        <v>104</v>
      </c>
      <c r="J20" s="99">
        <v>575</v>
      </c>
      <c r="K20" s="99">
        <v>11</v>
      </c>
      <c r="L20" s="99">
        <v>1235</v>
      </c>
      <c r="M20" s="99">
        <v>429</v>
      </c>
      <c r="N20" s="99">
        <v>238</v>
      </c>
      <c r="O20" s="99">
        <v>42</v>
      </c>
      <c r="P20" s="159">
        <v>42</v>
      </c>
      <c r="Q20" s="99">
        <v>7</v>
      </c>
      <c r="R20" s="99">
        <v>17</v>
      </c>
      <c r="S20" s="99">
        <v>9</v>
      </c>
      <c r="T20" s="99">
        <v>9</v>
      </c>
      <c r="U20" s="99" t="s">
        <v>609</v>
      </c>
      <c r="V20" s="99" t="s">
        <v>609</v>
      </c>
      <c r="W20" s="99">
        <v>11</v>
      </c>
      <c r="X20" s="99">
        <v>19</v>
      </c>
      <c r="Y20" s="99">
        <v>39</v>
      </c>
      <c r="Z20" s="99">
        <v>18</v>
      </c>
      <c r="AA20" s="99" t="s">
        <v>609</v>
      </c>
      <c r="AB20" s="99" t="s">
        <v>609</v>
      </c>
      <c r="AC20" s="99" t="s">
        <v>609</v>
      </c>
      <c r="AD20" s="98" t="s">
        <v>358</v>
      </c>
      <c r="AE20" s="100">
        <v>0.15072061121722521</v>
      </c>
      <c r="AF20" s="100">
        <v>0.07</v>
      </c>
      <c r="AG20" s="98">
        <v>416.73901719048445</v>
      </c>
      <c r="AH20" s="98">
        <v>191.00538287897206</v>
      </c>
      <c r="AI20" s="100">
        <v>0.018000000000000002</v>
      </c>
      <c r="AJ20" s="100">
        <v>0.799722</v>
      </c>
      <c r="AK20" s="100">
        <v>0.52381</v>
      </c>
      <c r="AL20" s="100">
        <v>0.828859</v>
      </c>
      <c r="AM20" s="100">
        <v>0.639344</v>
      </c>
      <c r="AN20" s="100">
        <v>0.646739</v>
      </c>
      <c r="AO20" s="98">
        <v>729.2932800833478</v>
      </c>
      <c r="AP20" s="158">
        <v>0.3904216766</v>
      </c>
      <c r="AQ20" s="100">
        <v>0.16666666666666666</v>
      </c>
      <c r="AR20" s="100">
        <v>0.4117647058823529</v>
      </c>
      <c r="AS20" s="98">
        <v>156.27713144643167</v>
      </c>
      <c r="AT20" s="98">
        <v>156.27713144643167</v>
      </c>
      <c r="AU20" s="98" t="s">
        <v>609</v>
      </c>
      <c r="AV20" s="98" t="s">
        <v>609</v>
      </c>
      <c r="AW20" s="98">
        <v>191.00538287897206</v>
      </c>
      <c r="AX20" s="98">
        <v>329.91838860913356</v>
      </c>
      <c r="AY20" s="98">
        <v>677.2009029345372</v>
      </c>
      <c r="AZ20" s="98">
        <v>312.55426289286333</v>
      </c>
      <c r="BA20" s="100" t="s">
        <v>609</v>
      </c>
      <c r="BB20" s="100" t="s">
        <v>609</v>
      </c>
      <c r="BC20" s="100" t="s">
        <v>609</v>
      </c>
      <c r="BD20" s="158">
        <v>0.281381588</v>
      </c>
      <c r="BE20" s="158">
        <v>0.5277366638000001</v>
      </c>
      <c r="BF20" s="162">
        <v>719</v>
      </c>
      <c r="BG20" s="162">
        <v>21</v>
      </c>
      <c r="BH20" s="162">
        <v>1490</v>
      </c>
      <c r="BI20" s="162">
        <v>671</v>
      </c>
      <c r="BJ20" s="162">
        <v>368</v>
      </c>
      <c r="BK20" s="97"/>
      <c r="BL20" s="97"/>
      <c r="BM20" s="97"/>
      <c r="BN20" s="97"/>
    </row>
    <row r="21" spans="1:66" ht="12.75">
      <c r="A21" s="79" t="s">
        <v>616</v>
      </c>
      <c r="B21" s="79" t="s">
        <v>303</v>
      </c>
      <c r="C21" s="79" t="s">
        <v>226</v>
      </c>
      <c r="D21" s="99">
        <v>15072</v>
      </c>
      <c r="E21" s="99">
        <v>2231</v>
      </c>
      <c r="F21" s="99" t="s">
        <v>381</v>
      </c>
      <c r="G21" s="99">
        <v>58</v>
      </c>
      <c r="H21" s="99">
        <v>26</v>
      </c>
      <c r="I21" s="99">
        <v>272</v>
      </c>
      <c r="J21" s="99">
        <v>1353</v>
      </c>
      <c r="K21" s="99">
        <v>20</v>
      </c>
      <c r="L21" s="99">
        <v>2607</v>
      </c>
      <c r="M21" s="99">
        <v>854</v>
      </c>
      <c r="N21" s="99">
        <v>461</v>
      </c>
      <c r="O21" s="99">
        <v>329</v>
      </c>
      <c r="P21" s="159">
        <v>329</v>
      </c>
      <c r="Q21" s="99">
        <v>21</v>
      </c>
      <c r="R21" s="99">
        <v>58</v>
      </c>
      <c r="S21" s="99">
        <v>52</v>
      </c>
      <c r="T21" s="99">
        <v>69</v>
      </c>
      <c r="U21" s="99">
        <v>21</v>
      </c>
      <c r="V21" s="99">
        <v>26</v>
      </c>
      <c r="W21" s="99">
        <v>61</v>
      </c>
      <c r="X21" s="99">
        <v>96</v>
      </c>
      <c r="Y21" s="99">
        <v>131</v>
      </c>
      <c r="Z21" s="99">
        <v>93</v>
      </c>
      <c r="AA21" s="99" t="s">
        <v>609</v>
      </c>
      <c r="AB21" s="99" t="s">
        <v>609</v>
      </c>
      <c r="AC21" s="99" t="s">
        <v>609</v>
      </c>
      <c r="AD21" s="98" t="s">
        <v>358</v>
      </c>
      <c r="AE21" s="100">
        <v>0.1480228237791932</v>
      </c>
      <c r="AF21" s="100">
        <v>0.16</v>
      </c>
      <c r="AG21" s="98">
        <v>384.8195329087049</v>
      </c>
      <c r="AH21" s="98">
        <v>172.5053078556263</v>
      </c>
      <c r="AI21" s="100">
        <v>0.018000000000000002</v>
      </c>
      <c r="AJ21" s="100">
        <v>0.750416</v>
      </c>
      <c r="AK21" s="100">
        <v>0.555556</v>
      </c>
      <c r="AL21" s="100">
        <v>0.687681</v>
      </c>
      <c r="AM21" s="100">
        <v>0.554186</v>
      </c>
      <c r="AN21" s="100">
        <v>0.549464</v>
      </c>
      <c r="AO21" s="98">
        <v>2182.855626326964</v>
      </c>
      <c r="AP21" s="158">
        <v>1.231100235</v>
      </c>
      <c r="AQ21" s="100">
        <v>0.06382978723404255</v>
      </c>
      <c r="AR21" s="100">
        <v>0.3620689655172414</v>
      </c>
      <c r="AS21" s="98">
        <v>345.0106157112526</v>
      </c>
      <c r="AT21" s="98">
        <v>457.80254777070064</v>
      </c>
      <c r="AU21" s="98">
        <v>139.3312101910828</v>
      </c>
      <c r="AV21" s="98">
        <v>172.5053078556263</v>
      </c>
      <c r="AW21" s="98">
        <v>404.723991507431</v>
      </c>
      <c r="AX21" s="98">
        <v>636.9426751592357</v>
      </c>
      <c r="AY21" s="98">
        <v>869.1613588110404</v>
      </c>
      <c r="AZ21" s="98">
        <v>617.0382165605096</v>
      </c>
      <c r="BA21" s="100" t="s">
        <v>609</v>
      </c>
      <c r="BB21" s="100" t="s">
        <v>609</v>
      </c>
      <c r="BC21" s="100" t="s">
        <v>609</v>
      </c>
      <c r="BD21" s="158">
        <v>1.101650925</v>
      </c>
      <c r="BE21" s="158">
        <v>1.371580353</v>
      </c>
      <c r="BF21" s="162">
        <v>1803</v>
      </c>
      <c r="BG21" s="162">
        <v>36</v>
      </c>
      <c r="BH21" s="162">
        <v>3791</v>
      </c>
      <c r="BI21" s="162">
        <v>1541</v>
      </c>
      <c r="BJ21" s="162">
        <v>839</v>
      </c>
      <c r="BK21" s="97"/>
      <c r="BL21" s="97"/>
      <c r="BM21" s="97"/>
      <c r="BN21" s="97"/>
    </row>
    <row r="22" spans="1:66" ht="12.75">
      <c r="A22" s="79" t="s">
        <v>612</v>
      </c>
      <c r="B22" s="79" t="s">
        <v>357</v>
      </c>
      <c r="C22" s="79" t="s">
        <v>226</v>
      </c>
      <c r="D22" s="99">
        <v>3782</v>
      </c>
      <c r="E22" s="99">
        <v>433</v>
      </c>
      <c r="F22" s="99" t="s">
        <v>378</v>
      </c>
      <c r="G22" s="99">
        <v>14</v>
      </c>
      <c r="H22" s="99" t="s">
        <v>609</v>
      </c>
      <c r="I22" s="99">
        <v>38</v>
      </c>
      <c r="J22" s="99">
        <v>294</v>
      </c>
      <c r="K22" s="99" t="s">
        <v>609</v>
      </c>
      <c r="L22" s="99">
        <v>613</v>
      </c>
      <c r="M22" s="99">
        <v>173</v>
      </c>
      <c r="N22" s="99">
        <v>104</v>
      </c>
      <c r="O22" s="99">
        <v>34</v>
      </c>
      <c r="P22" s="159">
        <v>34</v>
      </c>
      <c r="Q22" s="99" t="s">
        <v>609</v>
      </c>
      <c r="R22" s="99">
        <v>11</v>
      </c>
      <c r="S22" s="99">
        <v>17</v>
      </c>
      <c r="T22" s="99" t="s">
        <v>609</v>
      </c>
      <c r="U22" s="99" t="s">
        <v>609</v>
      </c>
      <c r="V22" s="99">
        <v>7</v>
      </c>
      <c r="W22" s="99">
        <v>6</v>
      </c>
      <c r="X22" s="99">
        <v>12</v>
      </c>
      <c r="Y22" s="99" t="s">
        <v>609</v>
      </c>
      <c r="Z22" s="99">
        <v>27</v>
      </c>
      <c r="AA22" s="99" t="s">
        <v>609</v>
      </c>
      <c r="AB22" s="99" t="s">
        <v>609</v>
      </c>
      <c r="AC22" s="99" t="s">
        <v>609</v>
      </c>
      <c r="AD22" s="98" t="s">
        <v>358</v>
      </c>
      <c r="AE22" s="100">
        <v>0.11448968799576943</v>
      </c>
      <c r="AF22" s="100">
        <v>0.18</v>
      </c>
      <c r="AG22" s="98">
        <v>370.17451084082495</v>
      </c>
      <c r="AH22" s="98" t="s">
        <v>609</v>
      </c>
      <c r="AI22" s="100">
        <v>0.01</v>
      </c>
      <c r="AJ22" s="100">
        <v>0.705036</v>
      </c>
      <c r="AK22" s="100" t="s">
        <v>609</v>
      </c>
      <c r="AL22" s="100">
        <v>0.643232</v>
      </c>
      <c r="AM22" s="100">
        <v>0.501449</v>
      </c>
      <c r="AN22" s="100">
        <v>0.504854</v>
      </c>
      <c r="AO22" s="98">
        <v>898.9952406134321</v>
      </c>
      <c r="AP22" s="158">
        <v>0.5666348267</v>
      </c>
      <c r="AQ22" s="100" t="s">
        <v>609</v>
      </c>
      <c r="AR22" s="100" t="s">
        <v>609</v>
      </c>
      <c r="AS22" s="98">
        <v>449.49762030671604</v>
      </c>
      <c r="AT22" s="98" t="s">
        <v>609</v>
      </c>
      <c r="AU22" s="98" t="s">
        <v>609</v>
      </c>
      <c r="AV22" s="98">
        <v>185.08725542041248</v>
      </c>
      <c r="AW22" s="98">
        <v>158.64621893178213</v>
      </c>
      <c r="AX22" s="98">
        <v>317.29243786356426</v>
      </c>
      <c r="AY22" s="98" t="s">
        <v>609</v>
      </c>
      <c r="AZ22" s="98">
        <v>713.9079851930196</v>
      </c>
      <c r="BA22" s="100" t="s">
        <v>609</v>
      </c>
      <c r="BB22" s="100" t="s">
        <v>609</v>
      </c>
      <c r="BC22" s="100" t="s">
        <v>609</v>
      </c>
      <c r="BD22" s="158">
        <v>0.3924110794</v>
      </c>
      <c r="BE22" s="158">
        <v>0.7918153381</v>
      </c>
      <c r="BF22" s="162">
        <v>417</v>
      </c>
      <c r="BG22" s="162" t="s">
        <v>609</v>
      </c>
      <c r="BH22" s="162">
        <v>953</v>
      </c>
      <c r="BI22" s="162">
        <v>345</v>
      </c>
      <c r="BJ22" s="162">
        <v>206</v>
      </c>
      <c r="BK22" s="97"/>
      <c r="BL22" s="97"/>
      <c r="BM22" s="97"/>
      <c r="BN22" s="97"/>
    </row>
    <row r="23" spans="1:66" ht="12.75">
      <c r="A23" s="79" t="s">
        <v>620</v>
      </c>
      <c r="B23" s="79" t="s">
        <v>314</v>
      </c>
      <c r="C23" s="79" t="s">
        <v>226</v>
      </c>
      <c r="D23" s="99">
        <v>13080</v>
      </c>
      <c r="E23" s="99">
        <v>2522</v>
      </c>
      <c r="F23" s="99" t="s">
        <v>380</v>
      </c>
      <c r="G23" s="99">
        <v>73</v>
      </c>
      <c r="H23" s="99">
        <v>41</v>
      </c>
      <c r="I23" s="99">
        <v>258</v>
      </c>
      <c r="J23" s="99">
        <v>1217</v>
      </c>
      <c r="K23" s="99">
        <v>10</v>
      </c>
      <c r="L23" s="99">
        <v>2207</v>
      </c>
      <c r="M23" s="99">
        <v>924</v>
      </c>
      <c r="N23" s="99">
        <v>496</v>
      </c>
      <c r="O23" s="99">
        <v>253</v>
      </c>
      <c r="P23" s="159">
        <v>253</v>
      </c>
      <c r="Q23" s="99">
        <v>30</v>
      </c>
      <c r="R23" s="99">
        <v>61</v>
      </c>
      <c r="S23" s="99">
        <v>45</v>
      </c>
      <c r="T23" s="99">
        <v>62</v>
      </c>
      <c r="U23" s="99" t="s">
        <v>609</v>
      </c>
      <c r="V23" s="99">
        <v>38</v>
      </c>
      <c r="W23" s="99">
        <v>34</v>
      </c>
      <c r="X23" s="99">
        <v>133</v>
      </c>
      <c r="Y23" s="99">
        <v>115</v>
      </c>
      <c r="Z23" s="99">
        <v>78</v>
      </c>
      <c r="AA23" s="99" t="s">
        <v>609</v>
      </c>
      <c r="AB23" s="99" t="s">
        <v>609</v>
      </c>
      <c r="AC23" s="99" t="s">
        <v>609</v>
      </c>
      <c r="AD23" s="98" t="s">
        <v>358</v>
      </c>
      <c r="AE23" s="100">
        <v>0.19281345565749236</v>
      </c>
      <c r="AF23" s="100">
        <v>0.12</v>
      </c>
      <c r="AG23" s="98">
        <v>558.1039755351682</v>
      </c>
      <c r="AH23" s="98">
        <v>313.45565749235476</v>
      </c>
      <c r="AI23" s="100">
        <v>0.02</v>
      </c>
      <c r="AJ23" s="100">
        <v>0.791287</v>
      </c>
      <c r="AK23" s="100">
        <v>0.833333</v>
      </c>
      <c r="AL23" s="100">
        <v>0.726704</v>
      </c>
      <c r="AM23" s="100">
        <v>0.599611</v>
      </c>
      <c r="AN23" s="100">
        <v>0.615385</v>
      </c>
      <c r="AO23" s="98">
        <v>1934.2507645259939</v>
      </c>
      <c r="AP23" s="158">
        <v>0.9882962799</v>
      </c>
      <c r="AQ23" s="100">
        <v>0.11857707509881422</v>
      </c>
      <c r="AR23" s="100">
        <v>0.4918032786885246</v>
      </c>
      <c r="AS23" s="98">
        <v>344.0366972477064</v>
      </c>
      <c r="AT23" s="98">
        <v>474.0061162079511</v>
      </c>
      <c r="AU23" s="98" t="s">
        <v>609</v>
      </c>
      <c r="AV23" s="98">
        <v>290.519877675841</v>
      </c>
      <c r="AW23" s="98">
        <v>259.9388379204893</v>
      </c>
      <c r="AX23" s="98">
        <v>1016.8195718654434</v>
      </c>
      <c r="AY23" s="98">
        <v>879.2048929663608</v>
      </c>
      <c r="AZ23" s="98">
        <v>596.3302752293578</v>
      </c>
      <c r="BA23" s="100" t="s">
        <v>609</v>
      </c>
      <c r="BB23" s="100" t="s">
        <v>609</v>
      </c>
      <c r="BC23" s="100" t="s">
        <v>609</v>
      </c>
      <c r="BD23" s="158">
        <v>0.8702575684</v>
      </c>
      <c r="BE23" s="158">
        <v>1.117879486</v>
      </c>
      <c r="BF23" s="162">
        <v>1538</v>
      </c>
      <c r="BG23" s="162">
        <v>12</v>
      </c>
      <c r="BH23" s="162">
        <v>3037</v>
      </c>
      <c r="BI23" s="162">
        <v>1541</v>
      </c>
      <c r="BJ23" s="162">
        <v>806</v>
      </c>
      <c r="BK23" s="97"/>
      <c r="BL23" s="97"/>
      <c r="BM23" s="97"/>
      <c r="BN23" s="97"/>
    </row>
    <row r="24" spans="1:66" ht="12.75">
      <c r="A24" s="79" t="s">
        <v>615</v>
      </c>
      <c r="B24" s="79" t="s">
        <v>301</v>
      </c>
      <c r="C24" s="79" t="s">
        <v>226</v>
      </c>
      <c r="D24" s="99">
        <v>11251</v>
      </c>
      <c r="E24" s="99">
        <v>1675</v>
      </c>
      <c r="F24" s="99" t="s">
        <v>380</v>
      </c>
      <c r="G24" s="99">
        <v>49</v>
      </c>
      <c r="H24" s="99">
        <v>28</v>
      </c>
      <c r="I24" s="99">
        <v>182</v>
      </c>
      <c r="J24" s="99">
        <v>981</v>
      </c>
      <c r="K24" s="99">
        <v>958</v>
      </c>
      <c r="L24" s="99">
        <v>1843</v>
      </c>
      <c r="M24" s="99">
        <v>665</v>
      </c>
      <c r="N24" s="99">
        <v>369</v>
      </c>
      <c r="O24" s="99">
        <v>204</v>
      </c>
      <c r="P24" s="159">
        <v>204</v>
      </c>
      <c r="Q24" s="99">
        <v>26</v>
      </c>
      <c r="R24" s="99">
        <v>51</v>
      </c>
      <c r="S24" s="99">
        <v>58</v>
      </c>
      <c r="T24" s="99">
        <v>20</v>
      </c>
      <c r="U24" s="99">
        <v>8</v>
      </c>
      <c r="V24" s="99">
        <v>21</v>
      </c>
      <c r="W24" s="99">
        <v>30</v>
      </c>
      <c r="X24" s="99">
        <v>66</v>
      </c>
      <c r="Y24" s="99">
        <v>84</v>
      </c>
      <c r="Z24" s="99">
        <v>64</v>
      </c>
      <c r="AA24" s="99" t="s">
        <v>609</v>
      </c>
      <c r="AB24" s="99" t="s">
        <v>609</v>
      </c>
      <c r="AC24" s="99" t="s">
        <v>609</v>
      </c>
      <c r="AD24" s="98" t="s">
        <v>358</v>
      </c>
      <c r="AE24" s="100">
        <v>0.14887565549728912</v>
      </c>
      <c r="AF24" s="100">
        <v>0.12</v>
      </c>
      <c r="AG24" s="98">
        <v>435.5168429472936</v>
      </c>
      <c r="AH24" s="98">
        <v>248.86676739845348</v>
      </c>
      <c r="AI24" s="100">
        <v>0.016</v>
      </c>
      <c r="AJ24" s="100">
        <v>0.777338</v>
      </c>
      <c r="AK24" s="100">
        <v>0.785246</v>
      </c>
      <c r="AL24" s="100">
        <v>0.696786</v>
      </c>
      <c r="AM24" s="100">
        <v>0.557886</v>
      </c>
      <c r="AN24" s="100">
        <v>0.559939</v>
      </c>
      <c r="AO24" s="98">
        <v>1813.1721624744466</v>
      </c>
      <c r="AP24" s="158">
        <v>1.0321747589999999</v>
      </c>
      <c r="AQ24" s="100">
        <v>0.12745098039215685</v>
      </c>
      <c r="AR24" s="100">
        <v>0.5098039215686274</v>
      </c>
      <c r="AS24" s="98">
        <v>515.509732468225</v>
      </c>
      <c r="AT24" s="98">
        <v>177.76197671318104</v>
      </c>
      <c r="AU24" s="98">
        <v>71.10479068527242</v>
      </c>
      <c r="AV24" s="98">
        <v>186.6500755488401</v>
      </c>
      <c r="AW24" s="98">
        <v>266.64296506977155</v>
      </c>
      <c r="AX24" s="98">
        <v>586.6145231534974</v>
      </c>
      <c r="AY24" s="98">
        <v>746.6003021953604</v>
      </c>
      <c r="AZ24" s="98">
        <v>568.8383254821794</v>
      </c>
      <c r="BA24" s="100" t="s">
        <v>609</v>
      </c>
      <c r="BB24" s="100" t="s">
        <v>609</v>
      </c>
      <c r="BC24" s="100" t="s">
        <v>609</v>
      </c>
      <c r="BD24" s="158">
        <v>0.8953860473999999</v>
      </c>
      <c r="BE24" s="158">
        <v>1.1839511109999998</v>
      </c>
      <c r="BF24" s="162">
        <v>1262</v>
      </c>
      <c r="BG24" s="162">
        <v>1220</v>
      </c>
      <c r="BH24" s="162">
        <v>2645</v>
      </c>
      <c r="BI24" s="162">
        <v>1192</v>
      </c>
      <c r="BJ24" s="162">
        <v>659</v>
      </c>
      <c r="BK24" s="97"/>
      <c r="BL24" s="97"/>
      <c r="BM24" s="97"/>
      <c r="BN24" s="97"/>
    </row>
    <row r="25" spans="1:66" ht="12.75">
      <c r="A25" s="79" t="s">
        <v>577</v>
      </c>
      <c r="B25" s="79" t="s">
        <v>325</v>
      </c>
      <c r="C25" s="79" t="s">
        <v>226</v>
      </c>
      <c r="D25" s="99">
        <v>18743</v>
      </c>
      <c r="E25" s="99">
        <v>2863</v>
      </c>
      <c r="F25" s="99" t="s">
        <v>382</v>
      </c>
      <c r="G25" s="99">
        <v>64</v>
      </c>
      <c r="H25" s="99">
        <v>41</v>
      </c>
      <c r="I25" s="99">
        <v>327</v>
      </c>
      <c r="J25" s="99">
        <v>1882</v>
      </c>
      <c r="K25" s="99">
        <v>1419</v>
      </c>
      <c r="L25" s="99">
        <v>3922</v>
      </c>
      <c r="M25" s="99">
        <v>1312</v>
      </c>
      <c r="N25" s="99">
        <v>653</v>
      </c>
      <c r="O25" s="99">
        <v>308</v>
      </c>
      <c r="P25" s="159">
        <v>308</v>
      </c>
      <c r="Q25" s="99">
        <v>32</v>
      </c>
      <c r="R25" s="99">
        <v>65</v>
      </c>
      <c r="S25" s="99">
        <v>61</v>
      </c>
      <c r="T25" s="99">
        <v>51</v>
      </c>
      <c r="U25" s="99">
        <v>7</v>
      </c>
      <c r="V25" s="99">
        <v>61</v>
      </c>
      <c r="W25" s="99">
        <v>116</v>
      </c>
      <c r="X25" s="99">
        <v>69</v>
      </c>
      <c r="Y25" s="99">
        <v>158</v>
      </c>
      <c r="Z25" s="99">
        <v>88</v>
      </c>
      <c r="AA25" s="99" t="s">
        <v>609</v>
      </c>
      <c r="AB25" s="99" t="s">
        <v>609</v>
      </c>
      <c r="AC25" s="99" t="s">
        <v>609</v>
      </c>
      <c r="AD25" s="98" t="s">
        <v>358</v>
      </c>
      <c r="AE25" s="100">
        <v>0.1527503601344502</v>
      </c>
      <c r="AF25" s="100">
        <v>0.05</v>
      </c>
      <c r="AG25" s="98">
        <v>341.4608120364936</v>
      </c>
      <c r="AH25" s="98">
        <v>218.74833271087874</v>
      </c>
      <c r="AI25" s="100">
        <v>0.017</v>
      </c>
      <c r="AJ25" s="100">
        <v>0.823272</v>
      </c>
      <c r="AK25" s="100">
        <v>0.806708</v>
      </c>
      <c r="AL25" s="100">
        <v>0.813862</v>
      </c>
      <c r="AM25" s="100">
        <v>0.585976</v>
      </c>
      <c r="AN25" s="100">
        <v>0.601289</v>
      </c>
      <c r="AO25" s="98">
        <v>1643.2801579256256</v>
      </c>
      <c r="AP25" s="158">
        <v>0.8911788939999999</v>
      </c>
      <c r="AQ25" s="100">
        <v>0.1038961038961039</v>
      </c>
      <c r="AR25" s="100">
        <v>0.49230769230769234</v>
      </c>
      <c r="AS25" s="98">
        <v>325.454836472283</v>
      </c>
      <c r="AT25" s="98">
        <v>272.10158459158083</v>
      </c>
      <c r="AU25" s="98">
        <v>37.34727631649149</v>
      </c>
      <c r="AV25" s="98">
        <v>325.454836472283</v>
      </c>
      <c r="AW25" s="98">
        <v>618.8977218161447</v>
      </c>
      <c r="AX25" s="98">
        <v>368.1374379768447</v>
      </c>
      <c r="AY25" s="98">
        <v>842.9813797150937</v>
      </c>
      <c r="AZ25" s="98">
        <v>469.5086165501787</v>
      </c>
      <c r="BA25" s="100" t="s">
        <v>609</v>
      </c>
      <c r="BB25" s="100" t="s">
        <v>609</v>
      </c>
      <c r="BC25" s="100" t="s">
        <v>609</v>
      </c>
      <c r="BD25" s="158">
        <v>0.7944208527000001</v>
      </c>
      <c r="BE25" s="158">
        <v>0.9964716339</v>
      </c>
      <c r="BF25" s="162">
        <v>2286</v>
      </c>
      <c r="BG25" s="162">
        <v>1759</v>
      </c>
      <c r="BH25" s="162">
        <v>4819</v>
      </c>
      <c r="BI25" s="162">
        <v>2239</v>
      </c>
      <c r="BJ25" s="162">
        <v>1086</v>
      </c>
      <c r="BK25" s="97"/>
      <c r="BL25" s="97"/>
      <c r="BM25" s="97"/>
      <c r="BN25" s="97"/>
    </row>
    <row r="26" spans="1:66" ht="12.75">
      <c r="A26" s="79" t="s">
        <v>621</v>
      </c>
      <c r="B26" s="79" t="s">
        <v>319</v>
      </c>
      <c r="C26" s="79" t="s">
        <v>226</v>
      </c>
      <c r="D26" s="99">
        <v>11857</v>
      </c>
      <c r="E26" s="99">
        <v>2232</v>
      </c>
      <c r="F26" s="99" t="s">
        <v>380</v>
      </c>
      <c r="G26" s="99">
        <v>57</v>
      </c>
      <c r="H26" s="99">
        <v>29</v>
      </c>
      <c r="I26" s="99">
        <v>206</v>
      </c>
      <c r="J26" s="99">
        <v>1314</v>
      </c>
      <c r="K26" s="99">
        <v>1271</v>
      </c>
      <c r="L26" s="99">
        <v>2261</v>
      </c>
      <c r="M26" s="99">
        <v>942</v>
      </c>
      <c r="N26" s="99">
        <v>517</v>
      </c>
      <c r="O26" s="99">
        <v>170</v>
      </c>
      <c r="P26" s="159">
        <v>170</v>
      </c>
      <c r="Q26" s="99">
        <v>19</v>
      </c>
      <c r="R26" s="99">
        <v>49</v>
      </c>
      <c r="S26" s="99">
        <v>63</v>
      </c>
      <c r="T26" s="99">
        <v>24</v>
      </c>
      <c r="U26" s="99" t="s">
        <v>609</v>
      </c>
      <c r="V26" s="99">
        <v>14</v>
      </c>
      <c r="W26" s="99">
        <v>37</v>
      </c>
      <c r="X26" s="99">
        <v>87</v>
      </c>
      <c r="Y26" s="99">
        <v>76</v>
      </c>
      <c r="Z26" s="99">
        <v>64</v>
      </c>
      <c r="AA26" s="99" t="s">
        <v>609</v>
      </c>
      <c r="AB26" s="99" t="s">
        <v>609</v>
      </c>
      <c r="AC26" s="99" t="s">
        <v>609</v>
      </c>
      <c r="AD26" s="98" t="s">
        <v>358</v>
      </c>
      <c r="AE26" s="100">
        <v>0.18824323184616681</v>
      </c>
      <c r="AF26" s="100">
        <v>0.11</v>
      </c>
      <c r="AG26" s="98">
        <v>480.7286834781142</v>
      </c>
      <c r="AH26" s="98">
        <v>244.5812600151809</v>
      </c>
      <c r="AI26" s="100">
        <v>0.017</v>
      </c>
      <c r="AJ26" s="100">
        <v>0.852693</v>
      </c>
      <c r="AK26" s="100">
        <v>0.84228</v>
      </c>
      <c r="AL26" s="100">
        <v>0.82428</v>
      </c>
      <c r="AM26" s="100">
        <v>0.638644</v>
      </c>
      <c r="AN26" s="100">
        <v>0.64787</v>
      </c>
      <c r="AO26" s="98">
        <v>1433.752213882095</v>
      </c>
      <c r="AP26" s="158">
        <v>0.7247594452</v>
      </c>
      <c r="AQ26" s="100">
        <v>0.11176470588235295</v>
      </c>
      <c r="AR26" s="100">
        <v>0.3877551020408163</v>
      </c>
      <c r="AS26" s="98">
        <v>531.3317027915999</v>
      </c>
      <c r="AT26" s="98">
        <v>202.4120772539428</v>
      </c>
      <c r="AU26" s="98" t="s">
        <v>609</v>
      </c>
      <c r="AV26" s="98">
        <v>118.07371173146664</v>
      </c>
      <c r="AW26" s="98">
        <v>312.05195243316183</v>
      </c>
      <c r="AX26" s="98">
        <v>733.7437800455427</v>
      </c>
      <c r="AY26" s="98">
        <v>640.9715779708189</v>
      </c>
      <c r="AZ26" s="98">
        <v>539.7655393438475</v>
      </c>
      <c r="BA26" s="100" t="s">
        <v>609</v>
      </c>
      <c r="BB26" s="100" t="s">
        <v>609</v>
      </c>
      <c r="BC26" s="100" t="s">
        <v>609</v>
      </c>
      <c r="BD26" s="158">
        <v>0.6199043274</v>
      </c>
      <c r="BE26" s="158">
        <v>0.8422705078</v>
      </c>
      <c r="BF26" s="162">
        <v>1541</v>
      </c>
      <c r="BG26" s="162">
        <v>1509</v>
      </c>
      <c r="BH26" s="162">
        <v>2743</v>
      </c>
      <c r="BI26" s="162">
        <v>1475</v>
      </c>
      <c r="BJ26" s="162">
        <v>798</v>
      </c>
      <c r="BK26" s="97"/>
      <c r="BL26" s="97"/>
      <c r="BM26" s="97"/>
      <c r="BN26" s="97"/>
    </row>
    <row r="27" spans="1:66" ht="12.75">
      <c r="A27" s="79" t="s">
        <v>622</v>
      </c>
      <c r="B27" s="79" t="s">
        <v>330</v>
      </c>
      <c r="C27" s="79" t="s">
        <v>226</v>
      </c>
      <c r="D27" s="99">
        <v>8868</v>
      </c>
      <c r="E27" s="99">
        <v>1135</v>
      </c>
      <c r="F27" s="99" t="s">
        <v>378</v>
      </c>
      <c r="G27" s="99">
        <v>41</v>
      </c>
      <c r="H27" s="99">
        <v>25</v>
      </c>
      <c r="I27" s="99">
        <v>80</v>
      </c>
      <c r="J27" s="99">
        <v>599</v>
      </c>
      <c r="K27" s="99">
        <v>9</v>
      </c>
      <c r="L27" s="99">
        <v>1485</v>
      </c>
      <c r="M27" s="99">
        <v>384</v>
      </c>
      <c r="N27" s="99">
        <v>196</v>
      </c>
      <c r="O27" s="99">
        <v>214</v>
      </c>
      <c r="P27" s="159">
        <v>214</v>
      </c>
      <c r="Q27" s="99">
        <v>15</v>
      </c>
      <c r="R27" s="99">
        <v>30</v>
      </c>
      <c r="S27" s="99">
        <v>47</v>
      </c>
      <c r="T27" s="99">
        <v>47</v>
      </c>
      <c r="U27" s="99">
        <v>10</v>
      </c>
      <c r="V27" s="99">
        <v>15</v>
      </c>
      <c r="W27" s="99">
        <v>17</v>
      </c>
      <c r="X27" s="99">
        <v>74</v>
      </c>
      <c r="Y27" s="99">
        <v>70</v>
      </c>
      <c r="Z27" s="99">
        <v>49</v>
      </c>
      <c r="AA27" s="99" t="s">
        <v>609</v>
      </c>
      <c r="AB27" s="99" t="s">
        <v>609</v>
      </c>
      <c r="AC27" s="99" t="s">
        <v>609</v>
      </c>
      <c r="AD27" s="98" t="s">
        <v>358</v>
      </c>
      <c r="AE27" s="100">
        <v>0.12798827244023456</v>
      </c>
      <c r="AF27" s="100">
        <v>0.18</v>
      </c>
      <c r="AG27" s="98">
        <v>462.3364907532702</v>
      </c>
      <c r="AH27" s="98">
        <v>281.91249436175013</v>
      </c>
      <c r="AI27" s="100">
        <v>0.009000000000000001</v>
      </c>
      <c r="AJ27" s="100">
        <v>0.641328</v>
      </c>
      <c r="AK27" s="100">
        <v>0.642857</v>
      </c>
      <c r="AL27" s="100">
        <v>0.720874</v>
      </c>
      <c r="AM27" s="100">
        <v>0.491677</v>
      </c>
      <c r="AN27" s="100">
        <v>0.459016</v>
      </c>
      <c r="AO27" s="98">
        <v>2413.170951736581</v>
      </c>
      <c r="AP27" s="158">
        <v>1.500609741</v>
      </c>
      <c r="AQ27" s="100">
        <v>0.07009345794392523</v>
      </c>
      <c r="AR27" s="100">
        <v>0.5</v>
      </c>
      <c r="AS27" s="98">
        <v>529.9954894000903</v>
      </c>
      <c r="AT27" s="98">
        <v>529.9954894000903</v>
      </c>
      <c r="AU27" s="98">
        <v>112.76499774470004</v>
      </c>
      <c r="AV27" s="98">
        <v>169.14749661705008</v>
      </c>
      <c r="AW27" s="98">
        <v>191.70049616599007</v>
      </c>
      <c r="AX27" s="98">
        <v>834.4609833107803</v>
      </c>
      <c r="AY27" s="98">
        <v>789.3549842129003</v>
      </c>
      <c r="AZ27" s="98">
        <v>552.5484889490302</v>
      </c>
      <c r="BA27" s="100" t="s">
        <v>609</v>
      </c>
      <c r="BB27" s="100" t="s">
        <v>609</v>
      </c>
      <c r="BC27" s="100" t="s">
        <v>609</v>
      </c>
      <c r="BD27" s="158">
        <v>1.3062791440000001</v>
      </c>
      <c r="BE27" s="158">
        <v>1.715700531</v>
      </c>
      <c r="BF27" s="162">
        <v>934</v>
      </c>
      <c r="BG27" s="162">
        <v>14</v>
      </c>
      <c r="BH27" s="162">
        <v>2060</v>
      </c>
      <c r="BI27" s="162">
        <v>781</v>
      </c>
      <c r="BJ27" s="162">
        <v>427</v>
      </c>
      <c r="BK27" s="97"/>
      <c r="BL27" s="97"/>
      <c r="BM27" s="97"/>
      <c r="BN27" s="97"/>
    </row>
    <row r="28" spans="1:66" ht="12.75">
      <c r="A28" s="79" t="s">
        <v>626</v>
      </c>
      <c r="B28" s="79" t="s">
        <v>346</v>
      </c>
      <c r="C28" s="79" t="s">
        <v>226</v>
      </c>
      <c r="D28" s="99">
        <v>4181</v>
      </c>
      <c r="E28" s="99">
        <v>666</v>
      </c>
      <c r="F28" s="99" t="s">
        <v>381</v>
      </c>
      <c r="G28" s="99">
        <v>24</v>
      </c>
      <c r="H28" s="99">
        <v>9</v>
      </c>
      <c r="I28" s="99">
        <v>84</v>
      </c>
      <c r="J28" s="99">
        <v>386</v>
      </c>
      <c r="K28" s="99" t="s">
        <v>609</v>
      </c>
      <c r="L28" s="99">
        <v>770</v>
      </c>
      <c r="M28" s="99">
        <v>232</v>
      </c>
      <c r="N28" s="99">
        <v>116</v>
      </c>
      <c r="O28" s="99">
        <v>81</v>
      </c>
      <c r="P28" s="159">
        <v>81</v>
      </c>
      <c r="Q28" s="99">
        <v>7</v>
      </c>
      <c r="R28" s="99">
        <v>13</v>
      </c>
      <c r="S28" s="99">
        <v>26</v>
      </c>
      <c r="T28" s="99">
        <v>17</v>
      </c>
      <c r="U28" s="99">
        <v>8</v>
      </c>
      <c r="V28" s="99">
        <v>7</v>
      </c>
      <c r="W28" s="99">
        <v>13</v>
      </c>
      <c r="X28" s="99">
        <v>34</v>
      </c>
      <c r="Y28" s="99">
        <v>30</v>
      </c>
      <c r="Z28" s="99">
        <v>21</v>
      </c>
      <c r="AA28" s="99" t="s">
        <v>609</v>
      </c>
      <c r="AB28" s="99" t="s">
        <v>609</v>
      </c>
      <c r="AC28" s="99" t="s">
        <v>609</v>
      </c>
      <c r="AD28" s="98" t="s">
        <v>358</v>
      </c>
      <c r="AE28" s="100">
        <v>0.1592920353982301</v>
      </c>
      <c r="AF28" s="100">
        <v>0.15</v>
      </c>
      <c r="AG28" s="98">
        <v>574.0253527864147</v>
      </c>
      <c r="AH28" s="98">
        <v>215.25950729490552</v>
      </c>
      <c r="AI28" s="100">
        <v>0.02</v>
      </c>
      <c r="AJ28" s="100">
        <v>0.731061</v>
      </c>
      <c r="AK28" s="100" t="s">
        <v>609</v>
      </c>
      <c r="AL28" s="100">
        <v>0.775428</v>
      </c>
      <c r="AM28" s="100">
        <v>0.505447</v>
      </c>
      <c r="AN28" s="100">
        <v>0.464</v>
      </c>
      <c r="AO28" s="98">
        <v>1937.3355656541498</v>
      </c>
      <c r="AP28" s="158">
        <v>1.0578752900000001</v>
      </c>
      <c r="AQ28" s="100">
        <v>0.08641975308641975</v>
      </c>
      <c r="AR28" s="100">
        <v>0.5384615384615384</v>
      </c>
      <c r="AS28" s="98">
        <v>621.8607988519493</v>
      </c>
      <c r="AT28" s="98">
        <v>406.6012915570438</v>
      </c>
      <c r="AU28" s="98">
        <v>191.34178426213825</v>
      </c>
      <c r="AV28" s="98">
        <v>167.42406122937098</v>
      </c>
      <c r="AW28" s="98">
        <v>310.93039942597466</v>
      </c>
      <c r="AX28" s="98">
        <v>813.2025831140876</v>
      </c>
      <c r="AY28" s="98">
        <v>717.5316909830184</v>
      </c>
      <c r="AZ28" s="98">
        <v>502.2721836881129</v>
      </c>
      <c r="BA28" s="100" t="s">
        <v>609</v>
      </c>
      <c r="BB28" s="100" t="s">
        <v>609</v>
      </c>
      <c r="BC28" s="100" t="s">
        <v>609</v>
      </c>
      <c r="BD28" s="158">
        <v>0.8401056671</v>
      </c>
      <c r="BE28" s="158">
        <v>1.314842377</v>
      </c>
      <c r="BF28" s="162">
        <v>528</v>
      </c>
      <c r="BG28" s="162" t="s">
        <v>609</v>
      </c>
      <c r="BH28" s="162">
        <v>993</v>
      </c>
      <c r="BI28" s="162">
        <v>459</v>
      </c>
      <c r="BJ28" s="162">
        <v>250</v>
      </c>
      <c r="BK28" s="97"/>
      <c r="BL28" s="97"/>
      <c r="BM28" s="97"/>
      <c r="BN28" s="97"/>
    </row>
    <row r="29" spans="1:66" ht="12.75">
      <c r="A29" s="79" t="s">
        <v>625</v>
      </c>
      <c r="B29" s="79" t="s">
        <v>340</v>
      </c>
      <c r="C29" s="79" t="s">
        <v>226</v>
      </c>
      <c r="D29" s="99">
        <v>4759</v>
      </c>
      <c r="E29" s="99">
        <v>778</v>
      </c>
      <c r="F29" s="99" t="s">
        <v>382</v>
      </c>
      <c r="G29" s="99">
        <v>20</v>
      </c>
      <c r="H29" s="99">
        <v>8</v>
      </c>
      <c r="I29" s="99">
        <v>72</v>
      </c>
      <c r="J29" s="99">
        <v>523</v>
      </c>
      <c r="K29" s="99">
        <v>9</v>
      </c>
      <c r="L29" s="99">
        <v>922</v>
      </c>
      <c r="M29" s="99">
        <v>392</v>
      </c>
      <c r="N29" s="99">
        <v>226</v>
      </c>
      <c r="O29" s="99">
        <v>74</v>
      </c>
      <c r="P29" s="159">
        <v>74</v>
      </c>
      <c r="Q29" s="99">
        <v>8</v>
      </c>
      <c r="R29" s="99">
        <v>20</v>
      </c>
      <c r="S29" s="99">
        <v>10</v>
      </c>
      <c r="T29" s="99">
        <v>12</v>
      </c>
      <c r="U29" s="99">
        <v>6</v>
      </c>
      <c r="V29" s="99">
        <v>14</v>
      </c>
      <c r="W29" s="99">
        <v>25</v>
      </c>
      <c r="X29" s="99">
        <v>28</v>
      </c>
      <c r="Y29" s="99">
        <v>40</v>
      </c>
      <c r="Z29" s="99">
        <v>10</v>
      </c>
      <c r="AA29" s="99" t="s">
        <v>609</v>
      </c>
      <c r="AB29" s="99" t="s">
        <v>609</v>
      </c>
      <c r="AC29" s="99" t="s">
        <v>609</v>
      </c>
      <c r="AD29" s="98" t="s">
        <v>358</v>
      </c>
      <c r="AE29" s="100">
        <v>0.1634797226308048</v>
      </c>
      <c r="AF29" s="100">
        <v>0.07</v>
      </c>
      <c r="AG29" s="98">
        <v>420.2563563773902</v>
      </c>
      <c r="AH29" s="98">
        <v>168.1025425509561</v>
      </c>
      <c r="AI29" s="100">
        <v>0.015</v>
      </c>
      <c r="AJ29" s="100">
        <v>0.803379</v>
      </c>
      <c r="AK29" s="100">
        <v>0.5</v>
      </c>
      <c r="AL29" s="100">
        <v>0.767055</v>
      </c>
      <c r="AM29" s="100">
        <v>0.619273</v>
      </c>
      <c r="AN29" s="100">
        <v>0.647564</v>
      </c>
      <c r="AO29" s="98">
        <v>1554.9485185963438</v>
      </c>
      <c r="AP29" s="158">
        <v>0.8047761536</v>
      </c>
      <c r="AQ29" s="100">
        <v>0.10810810810810811</v>
      </c>
      <c r="AR29" s="100">
        <v>0.4</v>
      </c>
      <c r="AS29" s="98">
        <v>210.1281781886951</v>
      </c>
      <c r="AT29" s="98">
        <v>252.15381382643412</v>
      </c>
      <c r="AU29" s="98">
        <v>126.07690691321706</v>
      </c>
      <c r="AV29" s="98">
        <v>294.17944946417316</v>
      </c>
      <c r="AW29" s="98">
        <v>525.3204454717378</v>
      </c>
      <c r="AX29" s="98">
        <v>588.3588989283463</v>
      </c>
      <c r="AY29" s="98">
        <v>840.5127127547804</v>
      </c>
      <c r="AZ29" s="98">
        <v>210.1281781886951</v>
      </c>
      <c r="BA29" s="100" t="s">
        <v>609</v>
      </c>
      <c r="BB29" s="100" t="s">
        <v>609</v>
      </c>
      <c r="BC29" s="100" t="s">
        <v>609</v>
      </c>
      <c r="BD29" s="158">
        <v>0.6319223785</v>
      </c>
      <c r="BE29" s="158">
        <v>1.010322723</v>
      </c>
      <c r="BF29" s="162">
        <v>651</v>
      </c>
      <c r="BG29" s="162">
        <v>18</v>
      </c>
      <c r="BH29" s="162">
        <v>1202</v>
      </c>
      <c r="BI29" s="162">
        <v>633</v>
      </c>
      <c r="BJ29" s="162">
        <v>349</v>
      </c>
      <c r="BK29" s="97"/>
      <c r="BL29" s="97"/>
      <c r="BM29" s="97"/>
      <c r="BN29" s="97"/>
    </row>
    <row r="30" spans="1:66" ht="12.75">
      <c r="A30" s="79" t="s">
        <v>599</v>
      </c>
      <c r="B30" s="79" t="s">
        <v>353</v>
      </c>
      <c r="C30" s="79" t="s">
        <v>226</v>
      </c>
      <c r="D30" s="99">
        <v>4107</v>
      </c>
      <c r="E30" s="99">
        <v>281</v>
      </c>
      <c r="F30" s="99" t="s">
        <v>382</v>
      </c>
      <c r="G30" s="99">
        <v>8</v>
      </c>
      <c r="H30" s="99" t="s">
        <v>609</v>
      </c>
      <c r="I30" s="99">
        <v>49</v>
      </c>
      <c r="J30" s="99">
        <v>314</v>
      </c>
      <c r="K30" s="99">
        <v>22</v>
      </c>
      <c r="L30" s="99">
        <v>1038</v>
      </c>
      <c r="M30" s="99">
        <v>178</v>
      </c>
      <c r="N30" s="99">
        <v>96</v>
      </c>
      <c r="O30" s="99">
        <v>24</v>
      </c>
      <c r="P30" s="159">
        <v>24</v>
      </c>
      <c r="Q30" s="99" t="s">
        <v>609</v>
      </c>
      <c r="R30" s="99">
        <v>10</v>
      </c>
      <c r="S30" s="99">
        <v>13</v>
      </c>
      <c r="T30" s="99" t="s">
        <v>609</v>
      </c>
      <c r="U30" s="99" t="s">
        <v>609</v>
      </c>
      <c r="V30" s="99" t="s">
        <v>609</v>
      </c>
      <c r="W30" s="99">
        <v>17</v>
      </c>
      <c r="X30" s="99">
        <v>11</v>
      </c>
      <c r="Y30" s="99">
        <v>17</v>
      </c>
      <c r="Z30" s="99">
        <v>9</v>
      </c>
      <c r="AA30" s="99" t="s">
        <v>609</v>
      </c>
      <c r="AB30" s="99" t="s">
        <v>609</v>
      </c>
      <c r="AC30" s="99" t="s">
        <v>609</v>
      </c>
      <c r="AD30" s="98" t="s">
        <v>358</v>
      </c>
      <c r="AE30" s="100">
        <v>0.06841977112247383</v>
      </c>
      <c r="AF30" s="100">
        <v>0.06</v>
      </c>
      <c r="AG30" s="98">
        <v>194.78938397857317</v>
      </c>
      <c r="AH30" s="98" t="s">
        <v>609</v>
      </c>
      <c r="AI30" s="100">
        <v>0.012</v>
      </c>
      <c r="AJ30" s="100">
        <v>0.853261</v>
      </c>
      <c r="AK30" s="100">
        <v>0.785714</v>
      </c>
      <c r="AL30" s="100">
        <v>0.858561</v>
      </c>
      <c r="AM30" s="100">
        <v>0.618056</v>
      </c>
      <c r="AN30" s="100">
        <v>0.648649</v>
      </c>
      <c r="AO30" s="98">
        <v>584.3681519357195</v>
      </c>
      <c r="AP30" s="158">
        <v>0.4229001236</v>
      </c>
      <c r="AQ30" s="100" t="s">
        <v>609</v>
      </c>
      <c r="AR30" s="100" t="s">
        <v>609</v>
      </c>
      <c r="AS30" s="98">
        <v>316.5327489651814</v>
      </c>
      <c r="AT30" s="98" t="s">
        <v>609</v>
      </c>
      <c r="AU30" s="98" t="s">
        <v>609</v>
      </c>
      <c r="AV30" s="98" t="s">
        <v>609</v>
      </c>
      <c r="AW30" s="98">
        <v>413.92744095446795</v>
      </c>
      <c r="AX30" s="98">
        <v>267.8354029705381</v>
      </c>
      <c r="AY30" s="98">
        <v>413.92744095446795</v>
      </c>
      <c r="AZ30" s="98">
        <v>219.1380569758948</v>
      </c>
      <c r="BA30" s="100" t="s">
        <v>609</v>
      </c>
      <c r="BB30" s="100" t="s">
        <v>609</v>
      </c>
      <c r="BC30" s="100" t="s">
        <v>609</v>
      </c>
      <c r="BD30" s="158">
        <v>0.2709601021</v>
      </c>
      <c r="BE30" s="158">
        <v>0.6292418671</v>
      </c>
      <c r="BF30" s="162">
        <v>368</v>
      </c>
      <c r="BG30" s="162">
        <v>28</v>
      </c>
      <c r="BH30" s="162">
        <v>1209</v>
      </c>
      <c r="BI30" s="162">
        <v>288</v>
      </c>
      <c r="BJ30" s="162">
        <v>148</v>
      </c>
      <c r="BK30" s="97"/>
      <c r="BL30" s="97"/>
      <c r="BM30" s="97"/>
      <c r="BN30" s="97"/>
    </row>
    <row r="31" spans="1:66" ht="12.75">
      <c r="A31" s="79" t="s">
        <v>601</v>
      </c>
      <c r="B31" s="79" t="s">
        <v>356</v>
      </c>
      <c r="C31" s="79" t="s">
        <v>226</v>
      </c>
      <c r="D31" s="99">
        <v>4522</v>
      </c>
      <c r="E31" s="99">
        <v>884</v>
      </c>
      <c r="F31" s="99" t="s">
        <v>380</v>
      </c>
      <c r="G31" s="99">
        <v>32</v>
      </c>
      <c r="H31" s="99">
        <v>14</v>
      </c>
      <c r="I31" s="99">
        <v>101</v>
      </c>
      <c r="J31" s="99">
        <v>495</v>
      </c>
      <c r="K31" s="99">
        <v>478</v>
      </c>
      <c r="L31" s="99">
        <v>802</v>
      </c>
      <c r="M31" s="99">
        <v>378</v>
      </c>
      <c r="N31" s="99">
        <v>199</v>
      </c>
      <c r="O31" s="99">
        <v>82</v>
      </c>
      <c r="P31" s="159">
        <v>82</v>
      </c>
      <c r="Q31" s="99">
        <v>10</v>
      </c>
      <c r="R31" s="99">
        <v>29</v>
      </c>
      <c r="S31" s="99">
        <v>15</v>
      </c>
      <c r="T31" s="99">
        <v>12</v>
      </c>
      <c r="U31" s="99" t="s">
        <v>609</v>
      </c>
      <c r="V31" s="99">
        <v>18</v>
      </c>
      <c r="W31" s="99">
        <v>23</v>
      </c>
      <c r="X31" s="99">
        <v>34</v>
      </c>
      <c r="Y31" s="99">
        <v>36</v>
      </c>
      <c r="Z31" s="99">
        <v>24</v>
      </c>
      <c r="AA31" s="99" t="s">
        <v>609</v>
      </c>
      <c r="AB31" s="99" t="s">
        <v>609</v>
      </c>
      <c r="AC31" s="99" t="s">
        <v>609</v>
      </c>
      <c r="AD31" s="98" t="s">
        <v>358</v>
      </c>
      <c r="AE31" s="100">
        <v>0.19548872180451127</v>
      </c>
      <c r="AF31" s="100">
        <v>0.1</v>
      </c>
      <c r="AG31" s="98">
        <v>707.6514816452897</v>
      </c>
      <c r="AH31" s="98">
        <v>309.59752321981426</v>
      </c>
      <c r="AI31" s="100">
        <v>0.022000000000000002</v>
      </c>
      <c r="AJ31" s="100">
        <v>0.810147</v>
      </c>
      <c r="AK31" s="100">
        <v>0.81431</v>
      </c>
      <c r="AL31" s="100">
        <v>0.75947</v>
      </c>
      <c r="AM31" s="100">
        <v>0.579755</v>
      </c>
      <c r="AN31" s="100">
        <v>0.597598</v>
      </c>
      <c r="AO31" s="98">
        <v>1813.3569217160548</v>
      </c>
      <c r="AP31" s="158">
        <v>0.8970950317</v>
      </c>
      <c r="AQ31" s="100">
        <v>0.12195121951219512</v>
      </c>
      <c r="AR31" s="100">
        <v>0.3448275862068966</v>
      </c>
      <c r="AS31" s="98">
        <v>331.71163202122955</v>
      </c>
      <c r="AT31" s="98">
        <v>265.36930561698364</v>
      </c>
      <c r="AU31" s="98" t="s">
        <v>609</v>
      </c>
      <c r="AV31" s="98">
        <v>398.05395842547546</v>
      </c>
      <c r="AW31" s="98">
        <v>508.624502432552</v>
      </c>
      <c r="AX31" s="98">
        <v>751.8796992481203</v>
      </c>
      <c r="AY31" s="98">
        <v>796.1079168509509</v>
      </c>
      <c r="AZ31" s="98">
        <v>530.7386112339673</v>
      </c>
      <c r="BA31" s="100" t="s">
        <v>609</v>
      </c>
      <c r="BB31" s="100" t="s">
        <v>609</v>
      </c>
      <c r="BC31" s="100" t="s">
        <v>609</v>
      </c>
      <c r="BD31" s="158">
        <v>0.7134862518</v>
      </c>
      <c r="BE31" s="158">
        <v>1.113531418</v>
      </c>
      <c r="BF31" s="162">
        <v>611</v>
      </c>
      <c r="BG31" s="162">
        <v>587</v>
      </c>
      <c r="BH31" s="162">
        <v>1056</v>
      </c>
      <c r="BI31" s="162">
        <v>652</v>
      </c>
      <c r="BJ31" s="162">
        <v>333</v>
      </c>
      <c r="BK31" s="97"/>
      <c r="BL31" s="97"/>
      <c r="BM31" s="97"/>
      <c r="BN31" s="97"/>
    </row>
    <row r="32" spans="1:66" ht="12.75">
      <c r="A32" s="79" t="s">
        <v>619</v>
      </c>
      <c r="B32" s="79" t="s">
        <v>313</v>
      </c>
      <c r="C32" s="79" t="s">
        <v>226</v>
      </c>
      <c r="D32" s="99">
        <v>11733</v>
      </c>
      <c r="E32" s="99">
        <v>2020</v>
      </c>
      <c r="F32" s="99" t="s">
        <v>380</v>
      </c>
      <c r="G32" s="99">
        <v>63</v>
      </c>
      <c r="H32" s="99">
        <v>21</v>
      </c>
      <c r="I32" s="99">
        <v>237</v>
      </c>
      <c r="J32" s="99">
        <v>1260</v>
      </c>
      <c r="K32" s="99">
        <v>1188</v>
      </c>
      <c r="L32" s="99">
        <v>2285</v>
      </c>
      <c r="M32" s="99">
        <v>885</v>
      </c>
      <c r="N32" s="99">
        <v>476</v>
      </c>
      <c r="O32" s="99">
        <v>218</v>
      </c>
      <c r="P32" s="159">
        <v>218</v>
      </c>
      <c r="Q32" s="99">
        <v>16</v>
      </c>
      <c r="R32" s="99">
        <v>50</v>
      </c>
      <c r="S32" s="99">
        <v>70</v>
      </c>
      <c r="T32" s="99">
        <v>36</v>
      </c>
      <c r="U32" s="99" t="s">
        <v>609</v>
      </c>
      <c r="V32" s="99">
        <v>26</v>
      </c>
      <c r="W32" s="99">
        <v>49</v>
      </c>
      <c r="X32" s="99">
        <v>86</v>
      </c>
      <c r="Y32" s="99">
        <v>88</v>
      </c>
      <c r="Z32" s="99">
        <v>78</v>
      </c>
      <c r="AA32" s="99" t="s">
        <v>609</v>
      </c>
      <c r="AB32" s="99" t="s">
        <v>609</v>
      </c>
      <c r="AC32" s="99" t="s">
        <v>609</v>
      </c>
      <c r="AD32" s="98" t="s">
        <v>358</v>
      </c>
      <c r="AE32" s="100">
        <v>0.17216398193130486</v>
      </c>
      <c r="AF32" s="100">
        <v>0.09</v>
      </c>
      <c r="AG32" s="98">
        <v>536.9470723600102</v>
      </c>
      <c r="AH32" s="98">
        <v>178.98235745333673</v>
      </c>
      <c r="AI32" s="100">
        <v>0.02</v>
      </c>
      <c r="AJ32" s="100">
        <v>0.803059</v>
      </c>
      <c r="AK32" s="100">
        <v>0.788845</v>
      </c>
      <c r="AL32" s="100">
        <v>0.788203</v>
      </c>
      <c r="AM32" s="100">
        <v>0.57393</v>
      </c>
      <c r="AN32" s="100">
        <v>0.574186</v>
      </c>
      <c r="AO32" s="98">
        <v>1858.0073297536862</v>
      </c>
      <c r="AP32" s="158">
        <v>0.9650086975000001</v>
      </c>
      <c r="AQ32" s="100">
        <v>0.07339449541284404</v>
      </c>
      <c r="AR32" s="100">
        <v>0.32</v>
      </c>
      <c r="AS32" s="98">
        <v>596.6078581777891</v>
      </c>
      <c r="AT32" s="98">
        <v>306.8268984914344</v>
      </c>
      <c r="AU32" s="98" t="s">
        <v>609</v>
      </c>
      <c r="AV32" s="98">
        <v>221.59720446603598</v>
      </c>
      <c r="AW32" s="98">
        <v>417.6255007244524</v>
      </c>
      <c r="AX32" s="98">
        <v>732.9753686184266</v>
      </c>
      <c r="AY32" s="98">
        <v>750.0213074235063</v>
      </c>
      <c r="AZ32" s="98">
        <v>664.7916133981079</v>
      </c>
      <c r="BA32" s="100" t="s">
        <v>609</v>
      </c>
      <c r="BB32" s="100" t="s">
        <v>609</v>
      </c>
      <c r="BC32" s="100" t="s">
        <v>609</v>
      </c>
      <c r="BD32" s="158">
        <v>0.8411509705</v>
      </c>
      <c r="BE32" s="158">
        <v>1.101969299</v>
      </c>
      <c r="BF32" s="162">
        <v>1569</v>
      </c>
      <c r="BG32" s="162">
        <v>1506</v>
      </c>
      <c r="BH32" s="162">
        <v>2899</v>
      </c>
      <c r="BI32" s="162">
        <v>1542</v>
      </c>
      <c r="BJ32" s="162">
        <v>829</v>
      </c>
      <c r="BK32" s="97"/>
      <c r="BL32" s="97"/>
      <c r="BM32" s="97"/>
      <c r="BN32" s="97"/>
    </row>
    <row r="33" spans="1:66" ht="12.75">
      <c r="A33" s="79" t="s">
        <v>592</v>
      </c>
      <c r="B33" s="79" t="s">
        <v>344</v>
      </c>
      <c r="C33" s="79" t="s">
        <v>226</v>
      </c>
      <c r="D33" s="99">
        <v>1818</v>
      </c>
      <c r="E33" s="99">
        <v>333</v>
      </c>
      <c r="F33" s="99" t="s">
        <v>381</v>
      </c>
      <c r="G33" s="99">
        <v>8</v>
      </c>
      <c r="H33" s="99" t="s">
        <v>609</v>
      </c>
      <c r="I33" s="99">
        <v>38</v>
      </c>
      <c r="J33" s="99">
        <v>154</v>
      </c>
      <c r="K33" s="99" t="s">
        <v>609</v>
      </c>
      <c r="L33" s="99">
        <v>314</v>
      </c>
      <c r="M33" s="99">
        <v>110</v>
      </c>
      <c r="N33" s="99">
        <v>62</v>
      </c>
      <c r="O33" s="99">
        <v>24</v>
      </c>
      <c r="P33" s="159">
        <v>24</v>
      </c>
      <c r="Q33" s="99" t="s">
        <v>609</v>
      </c>
      <c r="R33" s="99">
        <v>10</v>
      </c>
      <c r="S33" s="99">
        <v>9</v>
      </c>
      <c r="T33" s="99" t="s">
        <v>609</v>
      </c>
      <c r="U33" s="99" t="s">
        <v>609</v>
      </c>
      <c r="V33" s="99" t="s">
        <v>609</v>
      </c>
      <c r="W33" s="99">
        <v>8</v>
      </c>
      <c r="X33" s="99">
        <v>8</v>
      </c>
      <c r="Y33" s="99">
        <v>15</v>
      </c>
      <c r="Z33" s="99">
        <v>9</v>
      </c>
      <c r="AA33" s="99" t="s">
        <v>609</v>
      </c>
      <c r="AB33" s="99" t="s">
        <v>609</v>
      </c>
      <c r="AC33" s="99" t="s">
        <v>609</v>
      </c>
      <c r="AD33" s="98" t="s">
        <v>358</v>
      </c>
      <c r="AE33" s="100">
        <v>0.18316831683168316</v>
      </c>
      <c r="AF33" s="100">
        <v>0.14</v>
      </c>
      <c r="AG33" s="98">
        <v>440.04400440044003</v>
      </c>
      <c r="AH33" s="98" t="s">
        <v>609</v>
      </c>
      <c r="AI33" s="100">
        <v>0.021</v>
      </c>
      <c r="AJ33" s="100">
        <v>0.729858</v>
      </c>
      <c r="AK33" s="100" t="s">
        <v>609</v>
      </c>
      <c r="AL33" s="100">
        <v>0.798982</v>
      </c>
      <c r="AM33" s="100">
        <v>0.493274</v>
      </c>
      <c r="AN33" s="100">
        <v>0.521008</v>
      </c>
      <c r="AO33" s="98">
        <v>1320.1320132013202</v>
      </c>
      <c r="AP33" s="158">
        <v>0.6860318755999999</v>
      </c>
      <c r="AQ33" s="100" t="s">
        <v>609</v>
      </c>
      <c r="AR33" s="100" t="s">
        <v>609</v>
      </c>
      <c r="AS33" s="98">
        <v>495.0495049504951</v>
      </c>
      <c r="AT33" s="98" t="s">
        <v>609</v>
      </c>
      <c r="AU33" s="98" t="s">
        <v>609</v>
      </c>
      <c r="AV33" s="98" t="s">
        <v>609</v>
      </c>
      <c r="AW33" s="98">
        <v>440.04400440044003</v>
      </c>
      <c r="AX33" s="98">
        <v>440.04400440044003</v>
      </c>
      <c r="AY33" s="98">
        <v>825.0825082508251</v>
      </c>
      <c r="AZ33" s="98">
        <v>495.0495049504951</v>
      </c>
      <c r="BA33" s="101" t="s">
        <v>609</v>
      </c>
      <c r="BB33" s="101" t="s">
        <v>609</v>
      </c>
      <c r="BC33" s="101" t="s">
        <v>609</v>
      </c>
      <c r="BD33" s="158">
        <v>0.439553566</v>
      </c>
      <c r="BE33" s="158">
        <v>1.020761032</v>
      </c>
      <c r="BF33" s="162">
        <v>211</v>
      </c>
      <c r="BG33" s="162" t="s">
        <v>609</v>
      </c>
      <c r="BH33" s="162">
        <v>393</v>
      </c>
      <c r="BI33" s="162">
        <v>223</v>
      </c>
      <c r="BJ33" s="162">
        <v>119</v>
      </c>
      <c r="BK33" s="97"/>
      <c r="BL33" s="97"/>
      <c r="BM33" s="97"/>
      <c r="BN33" s="97"/>
    </row>
    <row r="34" spans="1:66" ht="12.75">
      <c r="A34" s="79" t="s">
        <v>613</v>
      </c>
      <c r="B34" s="79" t="s">
        <v>284</v>
      </c>
      <c r="C34" s="79" t="s">
        <v>226</v>
      </c>
      <c r="D34" s="99">
        <v>11754</v>
      </c>
      <c r="E34" s="99">
        <v>1479</v>
      </c>
      <c r="F34" s="99" t="s">
        <v>378</v>
      </c>
      <c r="G34" s="99">
        <v>61</v>
      </c>
      <c r="H34" s="99">
        <v>22</v>
      </c>
      <c r="I34" s="99">
        <v>145</v>
      </c>
      <c r="J34" s="99">
        <v>949</v>
      </c>
      <c r="K34" s="99">
        <v>6</v>
      </c>
      <c r="L34" s="99">
        <v>2038</v>
      </c>
      <c r="M34" s="99">
        <v>631</v>
      </c>
      <c r="N34" s="99">
        <v>341</v>
      </c>
      <c r="O34" s="99">
        <v>255</v>
      </c>
      <c r="P34" s="159">
        <v>255</v>
      </c>
      <c r="Q34" s="99">
        <v>16</v>
      </c>
      <c r="R34" s="99">
        <v>50</v>
      </c>
      <c r="S34" s="99">
        <v>65</v>
      </c>
      <c r="T34" s="99">
        <v>38</v>
      </c>
      <c r="U34" s="99">
        <v>8</v>
      </c>
      <c r="V34" s="99">
        <v>34</v>
      </c>
      <c r="W34" s="99">
        <v>53</v>
      </c>
      <c r="X34" s="99">
        <v>79</v>
      </c>
      <c r="Y34" s="99">
        <v>108</v>
      </c>
      <c r="Z34" s="99">
        <v>62</v>
      </c>
      <c r="AA34" s="99" t="s">
        <v>609</v>
      </c>
      <c r="AB34" s="99" t="s">
        <v>609</v>
      </c>
      <c r="AC34" s="99" t="s">
        <v>609</v>
      </c>
      <c r="AD34" s="98" t="s">
        <v>358</v>
      </c>
      <c r="AE34" s="100">
        <v>0.12582950484941297</v>
      </c>
      <c r="AF34" s="100">
        <v>0.18</v>
      </c>
      <c r="AG34" s="98">
        <v>518.9722647609325</v>
      </c>
      <c r="AH34" s="98">
        <v>187.17032499574614</v>
      </c>
      <c r="AI34" s="100">
        <v>0.012</v>
      </c>
      <c r="AJ34" s="100">
        <v>0.74025</v>
      </c>
      <c r="AK34" s="100">
        <v>0.5</v>
      </c>
      <c r="AL34" s="100">
        <v>0.726819</v>
      </c>
      <c r="AM34" s="100">
        <v>0.532939</v>
      </c>
      <c r="AN34" s="100">
        <v>0.519026</v>
      </c>
      <c r="AO34" s="98">
        <v>2169.4742215416027</v>
      </c>
      <c r="AP34" s="158">
        <v>1.341374207</v>
      </c>
      <c r="AQ34" s="100">
        <v>0.06274509803921569</v>
      </c>
      <c r="AR34" s="100">
        <v>0.32</v>
      </c>
      <c r="AS34" s="98">
        <v>553.0032329419772</v>
      </c>
      <c r="AT34" s="98">
        <v>323.29419771992514</v>
      </c>
      <c r="AU34" s="98">
        <v>68.0619363620895</v>
      </c>
      <c r="AV34" s="98">
        <v>289.2632295388804</v>
      </c>
      <c r="AW34" s="98">
        <v>450.9103283988429</v>
      </c>
      <c r="AX34" s="98">
        <v>672.1116215756339</v>
      </c>
      <c r="AY34" s="98">
        <v>918.8361408882083</v>
      </c>
      <c r="AZ34" s="98">
        <v>527.4800068061936</v>
      </c>
      <c r="BA34" s="100" t="s">
        <v>609</v>
      </c>
      <c r="BB34" s="100" t="s">
        <v>609</v>
      </c>
      <c r="BC34" s="100" t="s">
        <v>609</v>
      </c>
      <c r="BD34" s="158">
        <v>1.181774521</v>
      </c>
      <c r="BE34" s="158">
        <v>1.5165185550000002</v>
      </c>
      <c r="BF34" s="162">
        <v>1282</v>
      </c>
      <c r="BG34" s="162">
        <v>12</v>
      </c>
      <c r="BH34" s="162">
        <v>2804</v>
      </c>
      <c r="BI34" s="162">
        <v>1184</v>
      </c>
      <c r="BJ34" s="162">
        <v>657</v>
      </c>
      <c r="BK34" s="97"/>
      <c r="BL34" s="97"/>
      <c r="BM34" s="97"/>
      <c r="BN34" s="97"/>
    </row>
    <row r="35" spans="1:66" ht="12.75">
      <c r="A35" s="79" t="s">
        <v>614</v>
      </c>
      <c r="B35" s="79" t="s">
        <v>286</v>
      </c>
      <c r="C35" s="79" t="s">
        <v>226</v>
      </c>
      <c r="D35" s="99">
        <v>10401</v>
      </c>
      <c r="E35" s="99">
        <v>1487</v>
      </c>
      <c r="F35" s="99" t="s">
        <v>380</v>
      </c>
      <c r="G35" s="99">
        <v>31</v>
      </c>
      <c r="H35" s="99">
        <v>27</v>
      </c>
      <c r="I35" s="99">
        <v>156</v>
      </c>
      <c r="J35" s="99">
        <v>1004</v>
      </c>
      <c r="K35" s="99">
        <v>960</v>
      </c>
      <c r="L35" s="99">
        <v>2067</v>
      </c>
      <c r="M35" s="99">
        <v>705</v>
      </c>
      <c r="N35" s="99">
        <v>380</v>
      </c>
      <c r="O35" s="99">
        <v>128</v>
      </c>
      <c r="P35" s="159">
        <v>128</v>
      </c>
      <c r="Q35" s="99">
        <v>15</v>
      </c>
      <c r="R35" s="99">
        <v>39</v>
      </c>
      <c r="S35" s="99">
        <v>37</v>
      </c>
      <c r="T35" s="99">
        <v>18</v>
      </c>
      <c r="U35" s="99">
        <v>7</v>
      </c>
      <c r="V35" s="99">
        <v>14</v>
      </c>
      <c r="W35" s="99">
        <v>39</v>
      </c>
      <c r="X35" s="99">
        <v>54</v>
      </c>
      <c r="Y35" s="99">
        <v>81</v>
      </c>
      <c r="Z35" s="99">
        <v>43</v>
      </c>
      <c r="AA35" s="99" t="s">
        <v>609</v>
      </c>
      <c r="AB35" s="99" t="s">
        <v>609</v>
      </c>
      <c r="AC35" s="99" t="s">
        <v>609</v>
      </c>
      <c r="AD35" s="98" t="s">
        <v>358</v>
      </c>
      <c r="AE35" s="100">
        <v>0.14296702240169215</v>
      </c>
      <c r="AF35" s="100">
        <v>0.12</v>
      </c>
      <c r="AG35" s="98">
        <v>298.0482645899433</v>
      </c>
      <c r="AH35" s="98">
        <v>259.59042399769254</v>
      </c>
      <c r="AI35" s="100">
        <v>0.015</v>
      </c>
      <c r="AJ35" s="100">
        <v>0.811641</v>
      </c>
      <c r="AK35" s="100">
        <v>0.812183</v>
      </c>
      <c r="AL35" s="100">
        <v>0.761606</v>
      </c>
      <c r="AM35" s="100">
        <v>0.609334</v>
      </c>
      <c r="AN35" s="100">
        <v>0.619902</v>
      </c>
      <c r="AO35" s="98">
        <v>1230.650898952024</v>
      </c>
      <c r="AP35" s="158">
        <v>0.6924369812000001</v>
      </c>
      <c r="AQ35" s="100">
        <v>0.1171875</v>
      </c>
      <c r="AR35" s="100">
        <v>0.38461538461538464</v>
      </c>
      <c r="AS35" s="98">
        <v>355.7350254783194</v>
      </c>
      <c r="AT35" s="98">
        <v>173.06028266512834</v>
      </c>
      <c r="AU35" s="98">
        <v>67.3012210364388</v>
      </c>
      <c r="AV35" s="98">
        <v>134.6024420728776</v>
      </c>
      <c r="AW35" s="98">
        <v>374.96394577444477</v>
      </c>
      <c r="AX35" s="98">
        <v>519.1808479953851</v>
      </c>
      <c r="AY35" s="98">
        <v>778.7712719930776</v>
      </c>
      <c r="AZ35" s="98">
        <v>413.4217863666955</v>
      </c>
      <c r="BA35" s="100" t="s">
        <v>609</v>
      </c>
      <c r="BB35" s="100" t="s">
        <v>609</v>
      </c>
      <c r="BC35" s="100" t="s">
        <v>609</v>
      </c>
      <c r="BD35" s="158">
        <v>0.5776836014</v>
      </c>
      <c r="BE35" s="158">
        <v>0.8233098602</v>
      </c>
      <c r="BF35" s="162">
        <v>1237</v>
      </c>
      <c r="BG35" s="162">
        <v>1182</v>
      </c>
      <c r="BH35" s="162">
        <v>2714</v>
      </c>
      <c r="BI35" s="162">
        <v>1157</v>
      </c>
      <c r="BJ35" s="162">
        <v>613</v>
      </c>
      <c r="BK35" s="97"/>
      <c r="BL35" s="97"/>
      <c r="BM35" s="97"/>
      <c r="BN35" s="97"/>
    </row>
    <row r="36" spans="1:66" ht="12.75">
      <c r="A36" s="79" t="s">
        <v>627</v>
      </c>
      <c r="B36" s="79" t="s">
        <v>348</v>
      </c>
      <c r="C36" s="79" t="s">
        <v>226</v>
      </c>
      <c r="D36" s="99">
        <v>5564</v>
      </c>
      <c r="E36" s="99">
        <v>507</v>
      </c>
      <c r="F36" s="99" t="s">
        <v>378</v>
      </c>
      <c r="G36" s="99">
        <v>12</v>
      </c>
      <c r="H36" s="99">
        <v>10</v>
      </c>
      <c r="I36" s="99">
        <v>49</v>
      </c>
      <c r="J36" s="99">
        <v>362</v>
      </c>
      <c r="K36" s="99">
        <v>10</v>
      </c>
      <c r="L36" s="99">
        <v>958</v>
      </c>
      <c r="M36" s="99">
        <v>241</v>
      </c>
      <c r="N36" s="99">
        <v>116</v>
      </c>
      <c r="O36" s="99">
        <v>43</v>
      </c>
      <c r="P36" s="159">
        <v>43</v>
      </c>
      <c r="Q36" s="99">
        <v>6</v>
      </c>
      <c r="R36" s="99">
        <v>13</v>
      </c>
      <c r="S36" s="99">
        <v>9</v>
      </c>
      <c r="T36" s="99">
        <v>10</v>
      </c>
      <c r="U36" s="99" t="s">
        <v>609</v>
      </c>
      <c r="V36" s="99" t="s">
        <v>609</v>
      </c>
      <c r="W36" s="99">
        <v>10</v>
      </c>
      <c r="X36" s="99">
        <v>7</v>
      </c>
      <c r="Y36" s="99">
        <v>17</v>
      </c>
      <c r="Z36" s="99">
        <v>17</v>
      </c>
      <c r="AA36" s="99" t="s">
        <v>609</v>
      </c>
      <c r="AB36" s="99" t="s">
        <v>609</v>
      </c>
      <c r="AC36" s="99" t="s">
        <v>609</v>
      </c>
      <c r="AD36" s="98" t="s">
        <v>358</v>
      </c>
      <c r="AE36" s="100">
        <v>0.0911214953271028</v>
      </c>
      <c r="AF36" s="100">
        <v>0.19</v>
      </c>
      <c r="AG36" s="98">
        <v>215.67217828900073</v>
      </c>
      <c r="AH36" s="98">
        <v>179.72681524083393</v>
      </c>
      <c r="AI36" s="100">
        <v>0.009000000000000001</v>
      </c>
      <c r="AJ36" s="100">
        <v>0.692161</v>
      </c>
      <c r="AK36" s="100">
        <v>0.625</v>
      </c>
      <c r="AL36" s="100">
        <v>0.687724</v>
      </c>
      <c r="AM36" s="100">
        <v>0.542793</v>
      </c>
      <c r="AN36" s="100">
        <v>0.534562</v>
      </c>
      <c r="AO36" s="98">
        <v>772.8253055355859</v>
      </c>
      <c r="AP36" s="158">
        <v>0.5502955627</v>
      </c>
      <c r="AQ36" s="100">
        <v>0.13953488372093023</v>
      </c>
      <c r="AR36" s="100">
        <v>0.46153846153846156</v>
      </c>
      <c r="AS36" s="98">
        <v>161.75413371675054</v>
      </c>
      <c r="AT36" s="98">
        <v>179.72681524083393</v>
      </c>
      <c r="AU36" s="98" t="s">
        <v>609</v>
      </c>
      <c r="AV36" s="98" t="s">
        <v>609</v>
      </c>
      <c r="AW36" s="98">
        <v>179.72681524083393</v>
      </c>
      <c r="AX36" s="98">
        <v>125.80877066858375</v>
      </c>
      <c r="AY36" s="98">
        <v>305.5355859094177</v>
      </c>
      <c r="AZ36" s="98">
        <v>305.5355859094177</v>
      </c>
      <c r="BA36" s="100" t="s">
        <v>609</v>
      </c>
      <c r="BB36" s="100" t="s">
        <v>609</v>
      </c>
      <c r="BC36" s="100" t="s">
        <v>609</v>
      </c>
      <c r="BD36" s="158">
        <v>0.3982516098</v>
      </c>
      <c r="BE36" s="158">
        <v>0.7412445068</v>
      </c>
      <c r="BF36" s="162">
        <v>523</v>
      </c>
      <c r="BG36" s="162">
        <v>16</v>
      </c>
      <c r="BH36" s="162">
        <v>1393</v>
      </c>
      <c r="BI36" s="162">
        <v>444</v>
      </c>
      <c r="BJ36" s="162">
        <v>217</v>
      </c>
      <c r="BK36" s="97"/>
      <c r="BL36" s="97"/>
      <c r="BM36" s="97"/>
      <c r="BN36" s="97"/>
    </row>
    <row r="37" spans="1:66" ht="12.75">
      <c r="A37" s="79" t="s">
        <v>591</v>
      </c>
      <c r="B37" s="79" t="s">
        <v>343</v>
      </c>
      <c r="C37" s="79" t="s">
        <v>226</v>
      </c>
      <c r="D37" s="99">
        <v>4624</v>
      </c>
      <c r="E37" s="99">
        <v>810</v>
      </c>
      <c r="F37" s="99" t="s">
        <v>382</v>
      </c>
      <c r="G37" s="99">
        <v>25</v>
      </c>
      <c r="H37" s="99">
        <v>8</v>
      </c>
      <c r="I37" s="99">
        <v>88</v>
      </c>
      <c r="J37" s="99">
        <v>502</v>
      </c>
      <c r="K37" s="99" t="s">
        <v>609</v>
      </c>
      <c r="L37" s="99">
        <v>970</v>
      </c>
      <c r="M37" s="99">
        <v>354</v>
      </c>
      <c r="N37" s="99">
        <v>203</v>
      </c>
      <c r="O37" s="99">
        <v>143</v>
      </c>
      <c r="P37" s="159">
        <v>143</v>
      </c>
      <c r="Q37" s="99">
        <v>15</v>
      </c>
      <c r="R37" s="99">
        <v>28</v>
      </c>
      <c r="S37" s="99">
        <v>31</v>
      </c>
      <c r="T37" s="99">
        <v>16</v>
      </c>
      <c r="U37" s="99" t="s">
        <v>609</v>
      </c>
      <c r="V37" s="99">
        <v>45</v>
      </c>
      <c r="W37" s="99">
        <v>41</v>
      </c>
      <c r="X37" s="99">
        <v>22</v>
      </c>
      <c r="Y37" s="99">
        <v>61</v>
      </c>
      <c r="Z37" s="99">
        <v>14</v>
      </c>
      <c r="AA37" s="99" t="s">
        <v>609</v>
      </c>
      <c r="AB37" s="99" t="s">
        <v>609</v>
      </c>
      <c r="AC37" s="99" t="s">
        <v>609</v>
      </c>
      <c r="AD37" s="98" t="s">
        <v>358</v>
      </c>
      <c r="AE37" s="100">
        <v>0.17517301038062283</v>
      </c>
      <c r="AF37" s="100">
        <v>0.07</v>
      </c>
      <c r="AG37" s="98">
        <v>540.6574394463668</v>
      </c>
      <c r="AH37" s="98">
        <v>173.01038062283737</v>
      </c>
      <c r="AI37" s="100">
        <v>0.019</v>
      </c>
      <c r="AJ37" s="100">
        <v>0.754887</v>
      </c>
      <c r="AK37" s="100" t="s">
        <v>609</v>
      </c>
      <c r="AL37" s="100">
        <v>0.777244</v>
      </c>
      <c r="AM37" s="100">
        <v>0.55573</v>
      </c>
      <c r="AN37" s="100">
        <v>0.597059</v>
      </c>
      <c r="AO37" s="98">
        <v>3092.560553633218</v>
      </c>
      <c r="AP37" s="158">
        <v>1.553410797</v>
      </c>
      <c r="AQ37" s="100">
        <v>0.1048951048951049</v>
      </c>
      <c r="AR37" s="100">
        <v>0.5357142857142857</v>
      </c>
      <c r="AS37" s="98">
        <v>670.4152249134949</v>
      </c>
      <c r="AT37" s="98">
        <v>346.02076124567475</v>
      </c>
      <c r="AU37" s="98" t="s">
        <v>609</v>
      </c>
      <c r="AV37" s="98">
        <v>973.1833910034602</v>
      </c>
      <c r="AW37" s="98">
        <v>886.6782006920415</v>
      </c>
      <c r="AX37" s="98">
        <v>475.7785467128028</v>
      </c>
      <c r="AY37" s="98">
        <v>1319.204152249135</v>
      </c>
      <c r="AZ37" s="98">
        <v>302.7681660899654</v>
      </c>
      <c r="BA37" s="100" t="s">
        <v>609</v>
      </c>
      <c r="BB37" s="100" t="s">
        <v>609</v>
      </c>
      <c r="BC37" s="100" t="s">
        <v>609</v>
      </c>
      <c r="BD37" s="158">
        <v>1.3092459109999999</v>
      </c>
      <c r="BE37" s="158">
        <v>1.829895477</v>
      </c>
      <c r="BF37" s="162">
        <v>665</v>
      </c>
      <c r="BG37" s="162" t="s">
        <v>609</v>
      </c>
      <c r="BH37" s="162">
        <v>1248</v>
      </c>
      <c r="BI37" s="162">
        <v>637</v>
      </c>
      <c r="BJ37" s="162">
        <v>340</v>
      </c>
      <c r="BK37" s="97"/>
      <c r="BL37" s="97"/>
      <c r="BM37" s="97"/>
      <c r="BN37" s="97"/>
    </row>
    <row r="38" spans="1:66" ht="12.75">
      <c r="A38" s="79" t="s">
        <v>550</v>
      </c>
      <c r="B38" s="79" t="s">
        <v>291</v>
      </c>
      <c r="C38" s="79" t="s">
        <v>226</v>
      </c>
      <c r="D38" s="99">
        <v>11405</v>
      </c>
      <c r="E38" s="99">
        <v>1680</v>
      </c>
      <c r="F38" s="99" t="s">
        <v>381</v>
      </c>
      <c r="G38" s="99">
        <v>34</v>
      </c>
      <c r="H38" s="99">
        <v>26</v>
      </c>
      <c r="I38" s="99">
        <v>163</v>
      </c>
      <c r="J38" s="99">
        <v>870</v>
      </c>
      <c r="K38" s="99">
        <v>12</v>
      </c>
      <c r="L38" s="99">
        <v>1966</v>
      </c>
      <c r="M38" s="99">
        <v>639</v>
      </c>
      <c r="N38" s="99">
        <v>342</v>
      </c>
      <c r="O38" s="99">
        <v>171</v>
      </c>
      <c r="P38" s="159">
        <v>171</v>
      </c>
      <c r="Q38" s="99">
        <v>12</v>
      </c>
      <c r="R38" s="99">
        <v>32</v>
      </c>
      <c r="S38" s="99">
        <v>60</v>
      </c>
      <c r="T38" s="99">
        <v>28</v>
      </c>
      <c r="U38" s="99">
        <v>7</v>
      </c>
      <c r="V38" s="99">
        <v>9</v>
      </c>
      <c r="W38" s="99">
        <v>38</v>
      </c>
      <c r="X38" s="99">
        <v>65</v>
      </c>
      <c r="Y38" s="99">
        <v>77</v>
      </c>
      <c r="Z38" s="99">
        <v>56</v>
      </c>
      <c r="AA38" s="99" t="s">
        <v>609</v>
      </c>
      <c r="AB38" s="99" t="s">
        <v>609</v>
      </c>
      <c r="AC38" s="99" t="s">
        <v>609</v>
      </c>
      <c r="AD38" s="98" t="s">
        <v>358</v>
      </c>
      <c r="AE38" s="100">
        <v>0.14730381411661553</v>
      </c>
      <c r="AF38" s="100">
        <v>0.13</v>
      </c>
      <c r="AG38" s="98">
        <v>298.11486190267425</v>
      </c>
      <c r="AH38" s="98">
        <v>227.97018851380975</v>
      </c>
      <c r="AI38" s="100">
        <v>0.013999999999999999</v>
      </c>
      <c r="AJ38" s="100">
        <v>0.714286</v>
      </c>
      <c r="AK38" s="100">
        <v>0.6</v>
      </c>
      <c r="AL38" s="100">
        <v>0.708979</v>
      </c>
      <c r="AM38" s="100">
        <v>0.566489</v>
      </c>
      <c r="AN38" s="100">
        <v>0.587629</v>
      </c>
      <c r="AO38" s="98">
        <v>1499.3423936869794</v>
      </c>
      <c r="AP38" s="158">
        <v>0.8594034576</v>
      </c>
      <c r="AQ38" s="100">
        <v>0.07017543859649122</v>
      </c>
      <c r="AR38" s="100">
        <v>0.375</v>
      </c>
      <c r="AS38" s="98">
        <v>526.085050416484</v>
      </c>
      <c r="AT38" s="98">
        <v>245.50635686102586</v>
      </c>
      <c r="AU38" s="98">
        <v>61.376589215256466</v>
      </c>
      <c r="AV38" s="98">
        <v>78.9127575624726</v>
      </c>
      <c r="AW38" s="98">
        <v>333.18719859710654</v>
      </c>
      <c r="AX38" s="98">
        <v>569.9254712845243</v>
      </c>
      <c r="AY38" s="98">
        <v>675.1424813678211</v>
      </c>
      <c r="AZ38" s="98">
        <v>491.0127137220517</v>
      </c>
      <c r="BA38" s="100" t="s">
        <v>609</v>
      </c>
      <c r="BB38" s="100" t="s">
        <v>609</v>
      </c>
      <c r="BC38" s="100" t="s">
        <v>609</v>
      </c>
      <c r="BD38" s="158">
        <v>0.7354183197</v>
      </c>
      <c r="BE38" s="158">
        <v>0.9983068848000001</v>
      </c>
      <c r="BF38" s="162">
        <v>1218</v>
      </c>
      <c r="BG38" s="162">
        <v>20</v>
      </c>
      <c r="BH38" s="162">
        <v>2773</v>
      </c>
      <c r="BI38" s="162">
        <v>1128</v>
      </c>
      <c r="BJ38" s="162">
        <v>582</v>
      </c>
      <c r="BK38" s="97"/>
      <c r="BL38" s="97"/>
      <c r="BM38" s="97"/>
      <c r="BN38" s="97"/>
    </row>
    <row r="39" spans="1:66" ht="12.75">
      <c r="A39" s="79" t="s">
        <v>598</v>
      </c>
      <c r="B39" s="79" t="s">
        <v>352</v>
      </c>
      <c r="C39" s="79" t="s">
        <v>226</v>
      </c>
      <c r="D39" s="99">
        <v>8096</v>
      </c>
      <c r="E39" s="99">
        <v>680</v>
      </c>
      <c r="F39" s="99" t="s">
        <v>380</v>
      </c>
      <c r="G39" s="99">
        <v>24</v>
      </c>
      <c r="H39" s="99">
        <v>12</v>
      </c>
      <c r="I39" s="99">
        <v>113</v>
      </c>
      <c r="J39" s="99">
        <v>601</v>
      </c>
      <c r="K39" s="99">
        <v>14</v>
      </c>
      <c r="L39" s="99">
        <v>1744</v>
      </c>
      <c r="M39" s="99">
        <v>347</v>
      </c>
      <c r="N39" s="99">
        <v>204</v>
      </c>
      <c r="O39" s="99">
        <v>196</v>
      </c>
      <c r="P39" s="159">
        <v>196</v>
      </c>
      <c r="Q39" s="99">
        <v>13</v>
      </c>
      <c r="R39" s="99">
        <v>26</v>
      </c>
      <c r="S39" s="99">
        <v>72</v>
      </c>
      <c r="T39" s="99">
        <v>25</v>
      </c>
      <c r="U39" s="99" t="s">
        <v>609</v>
      </c>
      <c r="V39" s="99">
        <v>32</v>
      </c>
      <c r="W39" s="99">
        <v>19</v>
      </c>
      <c r="X39" s="99">
        <v>63</v>
      </c>
      <c r="Y39" s="99">
        <v>77</v>
      </c>
      <c r="Z39" s="99">
        <v>31</v>
      </c>
      <c r="AA39" s="99" t="s">
        <v>609</v>
      </c>
      <c r="AB39" s="99" t="s">
        <v>609</v>
      </c>
      <c r="AC39" s="99" t="s">
        <v>609</v>
      </c>
      <c r="AD39" s="98" t="s">
        <v>358</v>
      </c>
      <c r="AE39" s="100">
        <v>0.08399209486166008</v>
      </c>
      <c r="AF39" s="100">
        <v>0.12</v>
      </c>
      <c r="AG39" s="98">
        <v>296.44268774703556</v>
      </c>
      <c r="AH39" s="98">
        <v>148.22134387351778</v>
      </c>
      <c r="AI39" s="100">
        <v>0.013999999999999999</v>
      </c>
      <c r="AJ39" s="100">
        <v>0.72497</v>
      </c>
      <c r="AK39" s="100">
        <v>0.608696</v>
      </c>
      <c r="AL39" s="100">
        <v>0.788427</v>
      </c>
      <c r="AM39" s="100">
        <v>0.528963</v>
      </c>
      <c r="AN39" s="100">
        <v>0.573034</v>
      </c>
      <c r="AO39" s="98">
        <v>2420.9486166007905</v>
      </c>
      <c r="AP39" s="158">
        <v>1.655652771</v>
      </c>
      <c r="AQ39" s="100">
        <v>0.0663265306122449</v>
      </c>
      <c r="AR39" s="100">
        <v>0.5</v>
      </c>
      <c r="AS39" s="98">
        <v>889.3280632411067</v>
      </c>
      <c r="AT39" s="98">
        <v>308.79446640316206</v>
      </c>
      <c r="AU39" s="98" t="s">
        <v>609</v>
      </c>
      <c r="AV39" s="98">
        <v>395.25691699604744</v>
      </c>
      <c r="AW39" s="98">
        <v>234.68379446640316</v>
      </c>
      <c r="AX39" s="98">
        <v>778.1620553359684</v>
      </c>
      <c r="AY39" s="98">
        <v>951.0869565217391</v>
      </c>
      <c r="AZ39" s="98">
        <v>382.90513833992094</v>
      </c>
      <c r="BA39" s="100" t="s">
        <v>609</v>
      </c>
      <c r="BB39" s="100" t="s">
        <v>609</v>
      </c>
      <c r="BC39" s="100" t="s">
        <v>609</v>
      </c>
      <c r="BD39" s="158">
        <v>1.431967163</v>
      </c>
      <c r="BE39" s="158">
        <v>1.9043721009999999</v>
      </c>
      <c r="BF39" s="162">
        <v>829</v>
      </c>
      <c r="BG39" s="162">
        <v>23</v>
      </c>
      <c r="BH39" s="162">
        <v>2212</v>
      </c>
      <c r="BI39" s="162">
        <v>656</v>
      </c>
      <c r="BJ39" s="162">
        <v>356</v>
      </c>
      <c r="BK39" s="97"/>
      <c r="BL39" s="97"/>
      <c r="BM39" s="97"/>
      <c r="BN39" s="97"/>
    </row>
    <row r="40" spans="1:66" ht="12.75">
      <c r="A40" s="79" t="s">
        <v>624</v>
      </c>
      <c r="B40" s="79" t="s">
        <v>333</v>
      </c>
      <c r="C40" s="79" t="s">
        <v>226</v>
      </c>
      <c r="D40" s="99">
        <v>11959</v>
      </c>
      <c r="E40" s="99">
        <v>2392</v>
      </c>
      <c r="F40" s="99" t="s">
        <v>382</v>
      </c>
      <c r="G40" s="99">
        <v>35</v>
      </c>
      <c r="H40" s="99">
        <v>19</v>
      </c>
      <c r="I40" s="99">
        <v>247</v>
      </c>
      <c r="J40" s="99">
        <v>1552</v>
      </c>
      <c r="K40" s="99">
        <v>666</v>
      </c>
      <c r="L40" s="99">
        <v>2569</v>
      </c>
      <c r="M40" s="99">
        <v>1175</v>
      </c>
      <c r="N40" s="99">
        <v>612</v>
      </c>
      <c r="O40" s="99">
        <v>170</v>
      </c>
      <c r="P40" s="159">
        <v>170</v>
      </c>
      <c r="Q40" s="99">
        <v>19</v>
      </c>
      <c r="R40" s="99">
        <v>37</v>
      </c>
      <c r="S40" s="99">
        <v>30</v>
      </c>
      <c r="T40" s="99">
        <v>31</v>
      </c>
      <c r="U40" s="99" t="s">
        <v>609</v>
      </c>
      <c r="V40" s="99">
        <v>21</v>
      </c>
      <c r="W40" s="99">
        <v>53</v>
      </c>
      <c r="X40" s="99">
        <v>39</v>
      </c>
      <c r="Y40" s="99">
        <v>58</v>
      </c>
      <c r="Z40" s="99">
        <v>36</v>
      </c>
      <c r="AA40" s="99" t="s">
        <v>609</v>
      </c>
      <c r="AB40" s="99" t="s">
        <v>609</v>
      </c>
      <c r="AC40" s="99" t="s">
        <v>609</v>
      </c>
      <c r="AD40" s="98" t="s">
        <v>358</v>
      </c>
      <c r="AE40" s="100">
        <v>0.2000167238063383</v>
      </c>
      <c r="AF40" s="100">
        <v>0.06</v>
      </c>
      <c r="AG40" s="98">
        <v>292.66661092064555</v>
      </c>
      <c r="AH40" s="98">
        <v>158.87616021406473</v>
      </c>
      <c r="AI40" s="100">
        <v>0.021</v>
      </c>
      <c r="AJ40" s="100">
        <v>0.82247</v>
      </c>
      <c r="AK40" s="100">
        <v>0.850575</v>
      </c>
      <c r="AL40" s="100">
        <v>0.863529</v>
      </c>
      <c r="AM40" s="100">
        <v>0.628342</v>
      </c>
      <c r="AN40" s="100">
        <v>0.676243</v>
      </c>
      <c r="AO40" s="98">
        <v>1421.5235387574212</v>
      </c>
      <c r="AP40" s="158">
        <v>0.6691742705999999</v>
      </c>
      <c r="AQ40" s="100">
        <v>0.11176470588235295</v>
      </c>
      <c r="AR40" s="100">
        <v>0.5135135135135135</v>
      </c>
      <c r="AS40" s="98">
        <v>250.85709507483904</v>
      </c>
      <c r="AT40" s="98">
        <v>259.2189982440003</v>
      </c>
      <c r="AU40" s="98" t="s">
        <v>609</v>
      </c>
      <c r="AV40" s="98">
        <v>175.59996655238731</v>
      </c>
      <c r="AW40" s="98">
        <v>443.18086796554894</v>
      </c>
      <c r="AX40" s="98">
        <v>326.11422359729073</v>
      </c>
      <c r="AY40" s="98">
        <v>484.99038381135546</v>
      </c>
      <c r="AZ40" s="98">
        <v>301.02851408980683</v>
      </c>
      <c r="BA40" s="100" t="s">
        <v>609</v>
      </c>
      <c r="BB40" s="100" t="s">
        <v>609</v>
      </c>
      <c r="BC40" s="100" t="s">
        <v>609</v>
      </c>
      <c r="BD40" s="158">
        <v>0.5723609543</v>
      </c>
      <c r="BE40" s="158">
        <v>0.7776728821000001</v>
      </c>
      <c r="BF40" s="162">
        <v>1887</v>
      </c>
      <c r="BG40" s="162">
        <v>783</v>
      </c>
      <c r="BH40" s="162">
        <v>2975</v>
      </c>
      <c r="BI40" s="162">
        <v>1870</v>
      </c>
      <c r="BJ40" s="162">
        <v>905</v>
      </c>
      <c r="BK40" s="97"/>
      <c r="BL40" s="97"/>
      <c r="BM40" s="97"/>
      <c r="BN40" s="97"/>
    </row>
    <row r="41" spans="1:66" ht="12.75">
      <c r="A41" s="79" t="s">
        <v>588</v>
      </c>
      <c r="B41" s="79" t="s">
        <v>339</v>
      </c>
      <c r="C41" s="79" t="s">
        <v>226</v>
      </c>
      <c r="D41" s="99">
        <v>6958</v>
      </c>
      <c r="E41" s="99">
        <v>1332</v>
      </c>
      <c r="F41" s="99" t="s">
        <v>381</v>
      </c>
      <c r="G41" s="99">
        <v>39</v>
      </c>
      <c r="H41" s="99">
        <v>22</v>
      </c>
      <c r="I41" s="99">
        <v>125</v>
      </c>
      <c r="J41" s="99">
        <v>639</v>
      </c>
      <c r="K41" s="99">
        <v>9</v>
      </c>
      <c r="L41" s="99">
        <v>1302</v>
      </c>
      <c r="M41" s="99">
        <v>402</v>
      </c>
      <c r="N41" s="99">
        <v>198</v>
      </c>
      <c r="O41" s="99">
        <v>136</v>
      </c>
      <c r="P41" s="159">
        <v>136</v>
      </c>
      <c r="Q41" s="99">
        <v>13</v>
      </c>
      <c r="R41" s="99">
        <v>33</v>
      </c>
      <c r="S41" s="99">
        <v>25</v>
      </c>
      <c r="T41" s="99">
        <v>21</v>
      </c>
      <c r="U41" s="99" t="s">
        <v>609</v>
      </c>
      <c r="V41" s="99">
        <v>22</v>
      </c>
      <c r="W41" s="99">
        <v>42</v>
      </c>
      <c r="X41" s="99">
        <v>30</v>
      </c>
      <c r="Y41" s="99">
        <v>62</v>
      </c>
      <c r="Z41" s="99">
        <v>31</v>
      </c>
      <c r="AA41" s="99" t="s">
        <v>609</v>
      </c>
      <c r="AB41" s="99" t="s">
        <v>609</v>
      </c>
      <c r="AC41" s="99" t="s">
        <v>609</v>
      </c>
      <c r="AD41" s="98" t="s">
        <v>358</v>
      </c>
      <c r="AE41" s="100">
        <v>0.19143432020695603</v>
      </c>
      <c r="AF41" s="100">
        <v>0.13</v>
      </c>
      <c r="AG41" s="98">
        <v>560.5058924978442</v>
      </c>
      <c r="AH41" s="98">
        <v>316.18281115263005</v>
      </c>
      <c r="AI41" s="100">
        <v>0.018000000000000002</v>
      </c>
      <c r="AJ41" s="100">
        <v>0.792804</v>
      </c>
      <c r="AK41" s="100">
        <v>0.75</v>
      </c>
      <c r="AL41" s="100">
        <v>0.797794</v>
      </c>
      <c r="AM41" s="100">
        <v>0.554483</v>
      </c>
      <c r="AN41" s="100">
        <v>0.585799</v>
      </c>
      <c r="AO41" s="98">
        <v>1954.5846507617132</v>
      </c>
      <c r="AP41" s="158">
        <v>1.00011673</v>
      </c>
      <c r="AQ41" s="100">
        <v>0.09558823529411764</v>
      </c>
      <c r="AR41" s="100">
        <v>0.3939393939393939</v>
      </c>
      <c r="AS41" s="98">
        <v>359.2986490370796</v>
      </c>
      <c r="AT41" s="98">
        <v>301.8108651911469</v>
      </c>
      <c r="AU41" s="98" t="s">
        <v>609</v>
      </c>
      <c r="AV41" s="98">
        <v>316.18281115263005</v>
      </c>
      <c r="AW41" s="98">
        <v>603.6217303822938</v>
      </c>
      <c r="AX41" s="98">
        <v>431.15837884449553</v>
      </c>
      <c r="AY41" s="98">
        <v>891.0606496119575</v>
      </c>
      <c r="AZ41" s="98">
        <v>445.53032480597875</v>
      </c>
      <c r="BA41" s="100" t="s">
        <v>609</v>
      </c>
      <c r="BB41" s="100" t="s">
        <v>609</v>
      </c>
      <c r="BC41" s="100" t="s">
        <v>609</v>
      </c>
      <c r="BD41" s="158">
        <v>0.8391013336</v>
      </c>
      <c r="BE41" s="158">
        <v>1.183026123</v>
      </c>
      <c r="BF41" s="162">
        <v>806</v>
      </c>
      <c r="BG41" s="162">
        <v>12</v>
      </c>
      <c r="BH41" s="162">
        <v>1632</v>
      </c>
      <c r="BI41" s="162">
        <v>725</v>
      </c>
      <c r="BJ41" s="162">
        <v>338</v>
      </c>
      <c r="BK41" s="97"/>
      <c r="BL41" s="97"/>
      <c r="BM41" s="97"/>
      <c r="BN41" s="97"/>
    </row>
    <row r="42" spans="1:66" ht="12.75">
      <c r="A42" s="79" t="s">
        <v>569</v>
      </c>
      <c r="B42" s="79" t="s">
        <v>316</v>
      </c>
      <c r="C42" s="79" t="s">
        <v>226</v>
      </c>
      <c r="D42" s="99">
        <v>19479</v>
      </c>
      <c r="E42" s="99">
        <v>3124</v>
      </c>
      <c r="F42" s="99" t="s">
        <v>380</v>
      </c>
      <c r="G42" s="99">
        <v>85</v>
      </c>
      <c r="H42" s="99">
        <v>41</v>
      </c>
      <c r="I42" s="99">
        <v>338</v>
      </c>
      <c r="J42" s="99">
        <v>1693</v>
      </c>
      <c r="K42" s="99">
        <v>42</v>
      </c>
      <c r="L42" s="99">
        <v>3278</v>
      </c>
      <c r="M42" s="99">
        <v>1189</v>
      </c>
      <c r="N42" s="99">
        <v>591</v>
      </c>
      <c r="O42" s="99">
        <v>336</v>
      </c>
      <c r="P42" s="159">
        <v>336</v>
      </c>
      <c r="Q42" s="99">
        <v>40</v>
      </c>
      <c r="R42" s="99">
        <v>80</v>
      </c>
      <c r="S42" s="99">
        <v>58</v>
      </c>
      <c r="T42" s="99">
        <v>67</v>
      </c>
      <c r="U42" s="99">
        <v>8</v>
      </c>
      <c r="V42" s="99">
        <v>66</v>
      </c>
      <c r="W42" s="99">
        <v>90</v>
      </c>
      <c r="X42" s="99">
        <v>79</v>
      </c>
      <c r="Y42" s="99">
        <v>154</v>
      </c>
      <c r="Z42" s="99">
        <v>74</v>
      </c>
      <c r="AA42" s="99" t="s">
        <v>609</v>
      </c>
      <c r="AB42" s="99" t="s">
        <v>609</v>
      </c>
      <c r="AC42" s="99" t="s">
        <v>609</v>
      </c>
      <c r="AD42" s="98" t="s">
        <v>358</v>
      </c>
      <c r="AE42" s="100">
        <v>0.16037784280507214</v>
      </c>
      <c r="AF42" s="100">
        <v>0.12</v>
      </c>
      <c r="AG42" s="98">
        <v>436.3673699881924</v>
      </c>
      <c r="AH42" s="98">
        <v>210.48308434724575</v>
      </c>
      <c r="AI42" s="100">
        <v>0.017</v>
      </c>
      <c r="AJ42" s="100">
        <v>0.763989</v>
      </c>
      <c r="AK42" s="100">
        <v>0.591549</v>
      </c>
      <c r="AL42" s="100">
        <v>0.75652</v>
      </c>
      <c r="AM42" s="100">
        <v>0.585714</v>
      </c>
      <c r="AN42" s="100">
        <v>0.608651</v>
      </c>
      <c r="AO42" s="98">
        <v>1724.9345448945019</v>
      </c>
      <c r="AP42" s="158">
        <v>0.9535398865000001</v>
      </c>
      <c r="AQ42" s="100">
        <v>0.11904761904761904</v>
      </c>
      <c r="AR42" s="100">
        <v>0.5</v>
      </c>
      <c r="AS42" s="98">
        <v>297.75655834488424</v>
      </c>
      <c r="AT42" s="98">
        <v>343.96016222598695</v>
      </c>
      <c r="AU42" s="98">
        <v>41.06987011653575</v>
      </c>
      <c r="AV42" s="98">
        <v>338.82642846142</v>
      </c>
      <c r="AW42" s="98">
        <v>462.03603881102725</v>
      </c>
      <c r="AX42" s="98">
        <v>405.5649674007906</v>
      </c>
      <c r="AY42" s="98">
        <v>790.5949997433133</v>
      </c>
      <c r="AZ42" s="98">
        <v>379.89629857795575</v>
      </c>
      <c r="BA42" s="100" t="s">
        <v>609</v>
      </c>
      <c r="BB42" s="100" t="s">
        <v>609</v>
      </c>
      <c r="BC42" s="100" t="s">
        <v>609</v>
      </c>
      <c r="BD42" s="158">
        <v>0.8542967987</v>
      </c>
      <c r="BE42" s="158">
        <v>1.061147308</v>
      </c>
      <c r="BF42" s="162">
        <v>2216</v>
      </c>
      <c r="BG42" s="162">
        <v>71</v>
      </c>
      <c r="BH42" s="162">
        <v>4333</v>
      </c>
      <c r="BI42" s="162">
        <v>2030</v>
      </c>
      <c r="BJ42" s="162">
        <v>971</v>
      </c>
      <c r="BK42" s="97"/>
      <c r="BL42" s="97"/>
      <c r="BM42" s="97"/>
      <c r="BN42" s="97"/>
    </row>
    <row r="43" spans="1:66" ht="12.75">
      <c r="A43" s="79" t="s">
        <v>587</v>
      </c>
      <c r="B43" s="79" t="s">
        <v>338</v>
      </c>
      <c r="C43" s="79" t="s">
        <v>226</v>
      </c>
      <c r="D43" s="99">
        <v>3812</v>
      </c>
      <c r="E43" s="99">
        <v>358</v>
      </c>
      <c r="F43" s="99" t="s">
        <v>378</v>
      </c>
      <c r="G43" s="99">
        <v>8</v>
      </c>
      <c r="H43" s="99">
        <v>6</v>
      </c>
      <c r="I43" s="99">
        <v>33</v>
      </c>
      <c r="J43" s="99">
        <v>342</v>
      </c>
      <c r="K43" s="99" t="s">
        <v>609</v>
      </c>
      <c r="L43" s="99">
        <v>695</v>
      </c>
      <c r="M43" s="99">
        <v>193</v>
      </c>
      <c r="N43" s="99">
        <v>94</v>
      </c>
      <c r="O43" s="99">
        <v>49</v>
      </c>
      <c r="P43" s="159">
        <v>49</v>
      </c>
      <c r="Q43" s="99" t="s">
        <v>609</v>
      </c>
      <c r="R43" s="99">
        <v>10</v>
      </c>
      <c r="S43" s="99">
        <v>16</v>
      </c>
      <c r="T43" s="99" t="s">
        <v>609</v>
      </c>
      <c r="U43" s="99" t="s">
        <v>609</v>
      </c>
      <c r="V43" s="99">
        <v>13</v>
      </c>
      <c r="W43" s="99">
        <v>21</v>
      </c>
      <c r="X43" s="99">
        <v>26</v>
      </c>
      <c r="Y43" s="99">
        <v>49</v>
      </c>
      <c r="Z43" s="99">
        <v>11</v>
      </c>
      <c r="AA43" s="99" t="s">
        <v>609</v>
      </c>
      <c r="AB43" s="99" t="s">
        <v>609</v>
      </c>
      <c r="AC43" s="99" t="s">
        <v>609</v>
      </c>
      <c r="AD43" s="98" t="s">
        <v>358</v>
      </c>
      <c r="AE43" s="100">
        <v>0.09391395592864638</v>
      </c>
      <c r="AF43" s="100">
        <v>0.19</v>
      </c>
      <c r="AG43" s="98">
        <v>209.8635886673662</v>
      </c>
      <c r="AH43" s="98">
        <v>157.39769150052467</v>
      </c>
      <c r="AI43" s="100">
        <v>0.009000000000000001</v>
      </c>
      <c r="AJ43" s="100">
        <v>0.766816</v>
      </c>
      <c r="AK43" s="100" t="s">
        <v>609</v>
      </c>
      <c r="AL43" s="100">
        <v>0.765419</v>
      </c>
      <c r="AM43" s="100">
        <v>0.476543</v>
      </c>
      <c r="AN43" s="100">
        <v>0.487047</v>
      </c>
      <c r="AO43" s="98">
        <v>1285.414480587618</v>
      </c>
      <c r="AP43" s="158">
        <v>0.8563813019</v>
      </c>
      <c r="AQ43" s="100" t="s">
        <v>609</v>
      </c>
      <c r="AR43" s="100" t="s">
        <v>609</v>
      </c>
      <c r="AS43" s="98">
        <v>419.7271773347324</v>
      </c>
      <c r="AT43" s="98" t="s">
        <v>609</v>
      </c>
      <c r="AU43" s="98" t="s">
        <v>609</v>
      </c>
      <c r="AV43" s="98">
        <v>341.0283315844701</v>
      </c>
      <c r="AW43" s="98">
        <v>550.8919202518363</v>
      </c>
      <c r="AX43" s="98">
        <v>682.0566631689402</v>
      </c>
      <c r="AY43" s="98">
        <v>1285.414480587618</v>
      </c>
      <c r="AZ43" s="98">
        <v>288.56243441762854</v>
      </c>
      <c r="BA43" s="100" t="s">
        <v>609</v>
      </c>
      <c r="BB43" s="100" t="s">
        <v>609</v>
      </c>
      <c r="BC43" s="100" t="s">
        <v>609</v>
      </c>
      <c r="BD43" s="158">
        <v>0.633555603</v>
      </c>
      <c r="BE43" s="158">
        <v>1.132181473</v>
      </c>
      <c r="BF43" s="162">
        <v>446</v>
      </c>
      <c r="BG43" s="162" t="s">
        <v>609</v>
      </c>
      <c r="BH43" s="162">
        <v>908</v>
      </c>
      <c r="BI43" s="162">
        <v>405</v>
      </c>
      <c r="BJ43" s="162">
        <v>193</v>
      </c>
      <c r="BK43" s="97"/>
      <c r="BL43" s="97"/>
      <c r="BM43" s="97"/>
      <c r="BN43" s="97"/>
    </row>
    <row r="44" spans="1:66" ht="12.75">
      <c r="A44" s="79" t="s">
        <v>545</v>
      </c>
      <c r="B44" s="79" t="s">
        <v>285</v>
      </c>
      <c r="C44" s="79" t="s">
        <v>226</v>
      </c>
      <c r="D44" s="99">
        <v>10288</v>
      </c>
      <c r="E44" s="99">
        <v>1506</v>
      </c>
      <c r="F44" s="99" t="s">
        <v>380</v>
      </c>
      <c r="G44" s="99">
        <v>32</v>
      </c>
      <c r="H44" s="99">
        <v>25</v>
      </c>
      <c r="I44" s="99">
        <v>110</v>
      </c>
      <c r="J44" s="99">
        <v>903</v>
      </c>
      <c r="K44" s="99">
        <v>7</v>
      </c>
      <c r="L44" s="99">
        <v>1909</v>
      </c>
      <c r="M44" s="99">
        <v>622</v>
      </c>
      <c r="N44" s="99">
        <v>333</v>
      </c>
      <c r="O44" s="99">
        <v>341</v>
      </c>
      <c r="P44" s="159">
        <v>341</v>
      </c>
      <c r="Q44" s="99">
        <v>19</v>
      </c>
      <c r="R44" s="99">
        <v>29</v>
      </c>
      <c r="S44" s="99">
        <v>83</v>
      </c>
      <c r="T44" s="99">
        <v>64</v>
      </c>
      <c r="U44" s="99">
        <v>7</v>
      </c>
      <c r="V44" s="99">
        <v>70</v>
      </c>
      <c r="W44" s="99">
        <v>27</v>
      </c>
      <c r="X44" s="99">
        <v>95</v>
      </c>
      <c r="Y44" s="99">
        <v>76</v>
      </c>
      <c r="Z44" s="99">
        <v>44</v>
      </c>
      <c r="AA44" s="99" t="s">
        <v>609</v>
      </c>
      <c r="AB44" s="99" t="s">
        <v>609</v>
      </c>
      <c r="AC44" s="99" t="s">
        <v>609</v>
      </c>
      <c r="AD44" s="98" t="s">
        <v>358</v>
      </c>
      <c r="AE44" s="100">
        <v>0.1463841368584759</v>
      </c>
      <c r="AF44" s="100">
        <v>0.12</v>
      </c>
      <c r="AG44" s="98">
        <v>311.04199066874025</v>
      </c>
      <c r="AH44" s="98">
        <v>243.00155520995335</v>
      </c>
      <c r="AI44" s="100">
        <v>0.011000000000000001</v>
      </c>
      <c r="AJ44" s="100">
        <v>0.766553</v>
      </c>
      <c r="AK44" s="100">
        <v>0.538462</v>
      </c>
      <c r="AL44" s="100">
        <v>0.759046</v>
      </c>
      <c r="AM44" s="100">
        <v>0.581852</v>
      </c>
      <c r="AN44" s="100">
        <v>0.6</v>
      </c>
      <c r="AO44" s="98">
        <v>3314.5412130637637</v>
      </c>
      <c r="AP44" s="158">
        <v>1.865797272</v>
      </c>
      <c r="AQ44" s="100">
        <v>0.05571847507331378</v>
      </c>
      <c r="AR44" s="100">
        <v>0.6551724137931034</v>
      </c>
      <c r="AS44" s="98">
        <v>806.7651632970451</v>
      </c>
      <c r="AT44" s="98">
        <v>622.0839813374805</v>
      </c>
      <c r="AU44" s="98">
        <v>68.04043545878693</v>
      </c>
      <c r="AV44" s="98">
        <v>680.4043545878693</v>
      </c>
      <c r="AW44" s="98">
        <v>262.4416796267496</v>
      </c>
      <c r="AX44" s="98">
        <v>923.4059097978227</v>
      </c>
      <c r="AY44" s="98">
        <v>738.7247278382582</v>
      </c>
      <c r="AZ44" s="98">
        <v>427.6827371695179</v>
      </c>
      <c r="BA44" s="100" t="s">
        <v>609</v>
      </c>
      <c r="BB44" s="100" t="s">
        <v>609</v>
      </c>
      <c r="BC44" s="100" t="s">
        <v>609</v>
      </c>
      <c r="BD44" s="158">
        <v>1.672997437</v>
      </c>
      <c r="BE44" s="158">
        <v>2.074721375</v>
      </c>
      <c r="BF44" s="162">
        <v>1178</v>
      </c>
      <c r="BG44" s="162">
        <v>13</v>
      </c>
      <c r="BH44" s="162">
        <v>2515</v>
      </c>
      <c r="BI44" s="162">
        <v>1069</v>
      </c>
      <c r="BJ44" s="162">
        <v>555</v>
      </c>
      <c r="BK44" s="97"/>
      <c r="BL44" s="97"/>
      <c r="BM44" s="97"/>
      <c r="BN44" s="97"/>
    </row>
    <row r="45" spans="1:66" ht="12.75">
      <c r="A45" s="79" t="s">
        <v>589</v>
      </c>
      <c r="B45" s="79" t="s">
        <v>341</v>
      </c>
      <c r="C45" s="79" t="s">
        <v>226</v>
      </c>
      <c r="D45" s="99">
        <v>5249</v>
      </c>
      <c r="E45" s="99">
        <v>893</v>
      </c>
      <c r="F45" s="99" t="s">
        <v>380</v>
      </c>
      <c r="G45" s="99">
        <v>22</v>
      </c>
      <c r="H45" s="99">
        <v>11</v>
      </c>
      <c r="I45" s="99">
        <v>76</v>
      </c>
      <c r="J45" s="99">
        <v>485</v>
      </c>
      <c r="K45" s="99">
        <v>465</v>
      </c>
      <c r="L45" s="99">
        <v>1008</v>
      </c>
      <c r="M45" s="99">
        <v>336</v>
      </c>
      <c r="N45" s="99">
        <v>194</v>
      </c>
      <c r="O45" s="99">
        <v>166</v>
      </c>
      <c r="P45" s="159">
        <v>166</v>
      </c>
      <c r="Q45" s="99">
        <v>14</v>
      </c>
      <c r="R45" s="99">
        <v>43</v>
      </c>
      <c r="S45" s="99">
        <v>35</v>
      </c>
      <c r="T45" s="99">
        <v>19</v>
      </c>
      <c r="U45" s="99">
        <v>10</v>
      </c>
      <c r="V45" s="99">
        <v>24</v>
      </c>
      <c r="W45" s="99">
        <v>20</v>
      </c>
      <c r="X45" s="99">
        <v>43</v>
      </c>
      <c r="Y45" s="99">
        <v>54</v>
      </c>
      <c r="Z45" s="99">
        <v>34</v>
      </c>
      <c r="AA45" s="99" t="s">
        <v>609</v>
      </c>
      <c r="AB45" s="99" t="s">
        <v>609</v>
      </c>
      <c r="AC45" s="99" t="s">
        <v>609</v>
      </c>
      <c r="AD45" s="98" t="s">
        <v>358</v>
      </c>
      <c r="AE45" s="100">
        <v>0.17012764336064012</v>
      </c>
      <c r="AF45" s="100">
        <v>0.09</v>
      </c>
      <c r="AG45" s="98">
        <v>419.12745284816157</v>
      </c>
      <c r="AH45" s="98">
        <v>209.56372642408078</v>
      </c>
      <c r="AI45" s="100">
        <v>0.013999999999999999</v>
      </c>
      <c r="AJ45" s="100">
        <v>0.797697</v>
      </c>
      <c r="AK45" s="100">
        <v>0.812937</v>
      </c>
      <c r="AL45" s="100">
        <v>0.773599</v>
      </c>
      <c r="AM45" s="100">
        <v>0.560935</v>
      </c>
      <c r="AN45" s="100">
        <v>0.560694</v>
      </c>
      <c r="AO45" s="98">
        <v>3162.5071442179465</v>
      </c>
      <c r="AP45" s="158">
        <v>1.699056702</v>
      </c>
      <c r="AQ45" s="100">
        <v>0.08433734939759036</v>
      </c>
      <c r="AR45" s="100">
        <v>0.32558139534883723</v>
      </c>
      <c r="AS45" s="98">
        <v>666.7936749857116</v>
      </c>
      <c r="AT45" s="98">
        <v>361.9737092779577</v>
      </c>
      <c r="AU45" s="98">
        <v>190.51247856734616</v>
      </c>
      <c r="AV45" s="98">
        <v>457.2299485616308</v>
      </c>
      <c r="AW45" s="98">
        <v>381.02495713469233</v>
      </c>
      <c r="AX45" s="98">
        <v>819.2036578395885</v>
      </c>
      <c r="AY45" s="98">
        <v>1028.7673842636693</v>
      </c>
      <c r="AZ45" s="98">
        <v>647.7424271289769</v>
      </c>
      <c r="BA45" s="100" t="s">
        <v>609</v>
      </c>
      <c r="BB45" s="100" t="s">
        <v>609</v>
      </c>
      <c r="BC45" s="100" t="s">
        <v>609</v>
      </c>
      <c r="BD45" s="158">
        <v>1.450418243</v>
      </c>
      <c r="BE45" s="158">
        <v>1.978088684</v>
      </c>
      <c r="BF45" s="162">
        <v>608</v>
      </c>
      <c r="BG45" s="162">
        <v>572</v>
      </c>
      <c r="BH45" s="162">
        <v>1303</v>
      </c>
      <c r="BI45" s="162">
        <v>599</v>
      </c>
      <c r="BJ45" s="162">
        <v>346</v>
      </c>
      <c r="BK45" s="97"/>
      <c r="BL45" s="97"/>
      <c r="BM45" s="97"/>
      <c r="BN45" s="97"/>
    </row>
    <row r="46" spans="1:66" ht="12.75">
      <c r="A46" s="79" t="s">
        <v>549</v>
      </c>
      <c r="B46" s="79" t="s">
        <v>290</v>
      </c>
      <c r="C46" s="79" t="s">
        <v>226</v>
      </c>
      <c r="D46" s="99">
        <v>10244</v>
      </c>
      <c r="E46" s="99">
        <v>1428</v>
      </c>
      <c r="F46" s="99" t="s">
        <v>381</v>
      </c>
      <c r="G46" s="99">
        <v>46</v>
      </c>
      <c r="H46" s="99">
        <v>25</v>
      </c>
      <c r="I46" s="99">
        <v>112</v>
      </c>
      <c r="J46" s="99">
        <v>855</v>
      </c>
      <c r="K46" s="99">
        <v>13</v>
      </c>
      <c r="L46" s="99">
        <v>2014</v>
      </c>
      <c r="M46" s="99">
        <v>577</v>
      </c>
      <c r="N46" s="99">
        <v>275</v>
      </c>
      <c r="O46" s="99">
        <v>195</v>
      </c>
      <c r="P46" s="159">
        <v>195</v>
      </c>
      <c r="Q46" s="99">
        <v>25</v>
      </c>
      <c r="R46" s="99">
        <v>54</v>
      </c>
      <c r="S46" s="99">
        <v>45</v>
      </c>
      <c r="T46" s="99">
        <v>33</v>
      </c>
      <c r="U46" s="99">
        <v>7</v>
      </c>
      <c r="V46" s="99">
        <v>27</v>
      </c>
      <c r="W46" s="99">
        <v>64</v>
      </c>
      <c r="X46" s="99">
        <v>45</v>
      </c>
      <c r="Y46" s="99">
        <v>94</v>
      </c>
      <c r="Z46" s="99">
        <v>62</v>
      </c>
      <c r="AA46" s="99" t="s">
        <v>609</v>
      </c>
      <c r="AB46" s="99" t="s">
        <v>609</v>
      </c>
      <c r="AC46" s="99" t="s">
        <v>609</v>
      </c>
      <c r="AD46" s="98" t="s">
        <v>358</v>
      </c>
      <c r="AE46" s="100">
        <v>0.13939867239359624</v>
      </c>
      <c r="AF46" s="100">
        <v>0.13</v>
      </c>
      <c r="AG46" s="98">
        <v>449.0433424443577</v>
      </c>
      <c r="AH46" s="98">
        <v>244.04529480671613</v>
      </c>
      <c r="AI46" s="100">
        <v>0.011000000000000001</v>
      </c>
      <c r="AJ46" s="100">
        <v>0.759325</v>
      </c>
      <c r="AK46" s="100">
        <v>0.722222</v>
      </c>
      <c r="AL46" s="100">
        <v>0.751493</v>
      </c>
      <c r="AM46" s="100">
        <v>0.575274</v>
      </c>
      <c r="AN46" s="100">
        <v>0.57652</v>
      </c>
      <c r="AO46" s="98">
        <v>1903.5532994923858</v>
      </c>
      <c r="AP46" s="158">
        <v>1.0980289460000001</v>
      </c>
      <c r="AQ46" s="100">
        <v>0.1282051282051282</v>
      </c>
      <c r="AR46" s="100">
        <v>0.46296296296296297</v>
      </c>
      <c r="AS46" s="98">
        <v>439.28153065208903</v>
      </c>
      <c r="AT46" s="98">
        <v>322.1397891448653</v>
      </c>
      <c r="AU46" s="98">
        <v>68.33268254588052</v>
      </c>
      <c r="AV46" s="98">
        <v>263.5689183912534</v>
      </c>
      <c r="AW46" s="98">
        <v>624.7559547051933</v>
      </c>
      <c r="AX46" s="98">
        <v>439.28153065208903</v>
      </c>
      <c r="AY46" s="98">
        <v>917.6103084732526</v>
      </c>
      <c r="AZ46" s="98">
        <v>605.232331120656</v>
      </c>
      <c r="BA46" s="100" t="s">
        <v>609</v>
      </c>
      <c r="BB46" s="100" t="s">
        <v>609</v>
      </c>
      <c r="BC46" s="100" t="s">
        <v>609</v>
      </c>
      <c r="BD46" s="158">
        <v>0.9493147277999999</v>
      </c>
      <c r="BE46" s="158">
        <v>1.263431702</v>
      </c>
      <c r="BF46" s="162">
        <v>1126</v>
      </c>
      <c r="BG46" s="162">
        <v>18</v>
      </c>
      <c r="BH46" s="162">
        <v>2680</v>
      </c>
      <c r="BI46" s="162">
        <v>1003</v>
      </c>
      <c r="BJ46" s="162">
        <v>477</v>
      </c>
      <c r="BK46" s="97"/>
      <c r="BL46" s="97"/>
      <c r="BM46" s="97"/>
      <c r="BN46" s="97"/>
    </row>
    <row r="47" spans="1:66" ht="12.75">
      <c r="A47" s="79" t="s">
        <v>600</v>
      </c>
      <c r="B47" s="79" t="s">
        <v>355</v>
      </c>
      <c r="C47" s="79" t="s">
        <v>226</v>
      </c>
      <c r="D47" s="99">
        <v>2805</v>
      </c>
      <c r="E47" s="99">
        <v>224</v>
      </c>
      <c r="F47" s="99" t="s">
        <v>379</v>
      </c>
      <c r="G47" s="99">
        <v>10</v>
      </c>
      <c r="H47" s="99" t="s">
        <v>609</v>
      </c>
      <c r="I47" s="99">
        <v>20</v>
      </c>
      <c r="J47" s="99">
        <v>94</v>
      </c>
      <c r="K47" s="99">
        <v>85</v>
      </c>
      <c r="L47" s="99">
        <v>438</v>
      </c>
      <c r="M47" s="99">
        <v>44</v>
      </c>
      <c r="N47" s="99">
        <v>22</v>
      </c>
      <c r="O47" s="99">
        <v>18</v>
      </c>
      <c r="P47" s="159">
        <v>18</v>
      </c>
      <c r="Q47" s="99" t="s">
        <v>609</v>
      </c>
      <c r="R47" s="99">
        <v>10</v>
      </c>
      <c r="S47" s="99" t="s">
        <v>609</v>
      </c>
      <c r="T47" s="99" t="s">
        <v>609</v>
      </c>
      <c r="U47" s="99" t="s">
        <v>609</v>
      </c>
      <c r="V47" s="99">
        <v>6</v>
      </c>
      <c r="W47" s="99">
        <v>8</v>
      </c>
      <c r="X47" s="99">
        <v>9</v>
      </c>
      <c r="Y47" s="99">
        <v>14</v>
      </c>
      <c r="Z47" s="99">
        <v>17</v>
      </c>
      <c r="AA47" s="99" t="s">
        <v>609</v>
      </c>
      <c r="AB47" s="99" t="s">
        <v>609</v>
      </c>
      <c r="AC47" s="99" t="s">
        <v>609</v>
      </c>
      <c r="AD47" s="98" t="s">
        <v>358</v>
      </c>
      <c r="AE47" s="100">
        <v>0.07985739750445633</v>
      </c>
      <c r="AF47" s="100">
        <v>0.29</v>
      </c>
      <c r="AG47" s="98">
        <v>356.50623885918003</v>
      </c>
      <c r="AH47" s="98" t="s">
        <v>609</v>
      </c>
      <c r="AI47" s="100">
        <v>0.006999999999999999</v>
      </c>
      <c r="AJ47" s="100">
        <v>0.626667</v>
      </c>
      <c r="AK47" s="100">
        <v>0.607143</v>
      </c>
      <c r="AL47" s="100">
        <v>0.655689</v>
      </c>
      <c r="AM47" s="100">
        <v>0.376068</v>
      </c>
      <c r="AN47" s="100">
        <v>0.458333</v>
      </c>
      <c r="AO47" s="98">
        <v>641.7112299465241</v>
      </c>
      <c r="AP47" s="158">
        <v>0.5501660919</v>
      </c>
      <c r="AQ47" s="100" t="s">
        <v>609</v>
      </c>
      <c r="AR47" s="100" t="s">
        <v>609</v>
      </c>
      <c r="AS47" s="98" t="s">
        <v>609</v>
      </c>
      <c r="AT47" s="98" t="s">
        <v>609</v>
      </c>
      <c r="AU47" s="98" t="s">
        <v>609</v>
      </c>
      <c r="AV47" s="98">
        <v>213.90374331550802</v>
      </c>
      <c r="AW47" s="98">
        <v>285.204991087344</v>
      </c>
      <c r="AX47" s="98">
        <v>320.85561497326205</v>
      </c>
      <c r="AY47" s="98">
        <v>499.10873440285206</v>
      </c>
      <c r="AZ47" s="98">
        <v>606.060606060606</v>
      </c>
      <c r="BA47" s="100" t="s">
        <v>609</v>
      </c>
      <c r="BB47" s="100" t="s">
        <v>609</v>
      </c>
      <c r="BC47" s="100" t="s">
        <v>609</v>
      </c>
      <c r="BD47" s="158">
        <v>0.3260633087</v>
      </c>
      <c r="BE47" s="158">
        <v>0.869499588</v>
      </c>
      <c r="BF47" s="162">
        <v>150</v>
      </c>
      <c r="BG47" s="162">
        <v>140</v>
      </c>
      <c r="BH47" s="162">
        <v>668</v>
      </c>
      <c r="BI47" s="162">
        <v>117</v>
      </c>
      <c r="BJ47" s="162">
        <v>48</v>
      </c>
      <c r="BK47" s="97"/>
      <c r="BL47" s="97"/>
      <c r="BM47" s="97"/>
      <c r="BN47" s="97"/>
    </row>
    <row r="48" spans="1:66" ht="12.75">
      <c r="A48" s="79" t="s">
        <v>566</v>
      </c>
      <c r="B48" s="79" t="s">
        <v>311</v>
      </c>
      <c r="C48" s="79" t="s">
        <v>226</v>
      </c>
      <c r="D48" s="99">
        <v>5790</v>
      </c>
      <c r="E48" s="99">
        <v>879</v>
      </c>
      <c r="F48" s="99" t="s">
        <v>381</v>
      </c>
      <c r="G48" s="99">
        <v>18</v>
      </c>
      <c r="H48" s="99">
        <v>12</v>
      </c>
      <c r="I48" s="99">
        <v>80</v>
      </c>
      <c r="J48" s="99">
        <v>518</v>
      </c>
      <c r="K48" s="99">
        <v>508</v>
      </c>
      <c r="L48" s="99">
        <v>1065</v>
      </c>
      <c r="M48" s="99">
        <v>322</v>
      </c>
      <c r="N48" s="99">
        <v>160</v>
      </c>
      <c r="O48" s="99">
        <v>50</v>
      </c>
      <c r="P48" s="159">
        <v>50</v>
      </c>
      <c r="Q48" s="99">
        <v>13</v>
      </c>
      <c r="R48" s="99">
        <v>28</v>
      </c>
      <c r="S48" s="99">
        <v>11</v>
      </c>
      <c r="T48" s="99">
        <v>11</v>
      </c>
      <c r="U48" s="99" t="s">
        <v>609</v>
      </c>
      <c r="V48" s="99">
        <v>8</v>
      </c>
      <c r="W48" s="99">
        <v>32</v>
      </c>
      <c r="X48" s="99">
        <v>11</v>
      </c>
      <c r="Y48" s="99">
        <v>35</v>
      </c>
      <c r="Z48" s="99">
        <v>38</v>
      </c>
      <c r="AA48" s="99" t="s">
        <v>609</v>
      </c>
      <c r="AB48" s="99" t="s">
        <v>609</v>
      </c>
      <c r="AC48" s="99" t="s">
        <v>609</v>
      </c>
      <c r="AD48" s="98" t="s">
        <v>358</v>
      </c>
      <c r="AE48" s="100">
        <v>0.15181347150259067</v>
      </c>
      <c r="AF48" s="100">
        <v>0.14</v>
      </c>
      <c r="AG48" s="98">
        <v>310.88082901554407</v>
      </c>
      <c r="AH48" s="98">
        <v>207.2538860103627</v>
      </c>
      <c r="AI48" s="100">
        <v>0.013999999999999999</v>
      </c>
      <c r="AJ48" s="100">
        <v>0.803101</v>
      </c>
      <c r="AK48" s="100">
        <v>0.79375</v>
      </c>
      <c r="AL48" s="100">
        <v>0.775109</v>
      </c>
      <c r="AM48" s="100">
        <v>0.572954</v>
      </c>
      <c r="AN48" s="100">
        <v>0.603774</v>
      </c>
      <c r="AO48" s="98">
        <v>863.5578583765113</v>
      </c>
      <c r="AP48" s="158">
        <v>0.489894104</v>
      </c>
      <c r="AQ48" s="100">
        <v>0.26</v>
      </c>
      <c r="AR48" s="100">
        <v>0.4642857142857143</v>
      </c>
      <c r="AS48" s="98">
        <v>189.98272884283247</v>
      </c>
      <c r="AT48" s="98">
        <v>189.98272884283247</v>
      </c>
      <c r="AU48" s="98" t="s">
        <v>609</v>
      </c>
      <c r="AV48" s="98">
        <v>138.16925734024178</v>
      </c>
      <c r="AW48" s="98">
        <v>552.6770293609671</v>
      </c>
      <c r="AX48" s="98">
        <v>189.98272884283247</v>
      </c>
      <c r="AY48" s="98">
        <v>604.4905008635578</v>
      </c>
      <c r="AZ48" s="98">
        <v>656.3039723661485</v>
      </c>
      <c r="BA48" s="100" t="s">
        <v>609</v>
      </c>
      <c r="BB48" s="100" t="s">
        <v>609</v>
      </c>
      <c r="BC48" s="100" t="s">
        <v>609</v>
      </c>
      <c r="BD48" s="158">
        <v>0.3636088562</v>
      </c>
      <c r="BE48" s="158">
        <v>0.6458643341</v>
      </c>
      <c r="BF48" s="162">
        <v>645</v>
      </c>
      <c r="BG48" s="162">
        <v>640</v>
      </c>
      <c r="BH48" s="162">
        <v>1374</v>
      </c>
      <c r="BI48" s="162">
        <v>562</v>
      </c>
      <c r="BJ48" s="162">
        <v>265</v>
      </c>
      <c r="BK48" s="97"/>
      <c r="BL48" s="97"/>
      <c r="BM48" s="97"/>
      <c r="BN48" s="97"/>
    </row>
    <row r="49" spans="1:66" ht="12.75">
      <c r="A49" s="79" t="s">
        <v>561</v>
      </c>
      <c r="B49" s="79" t="s">
        <v>304</v>
      </c>
      <c r="C49" s="79" t="s">
        <v>226</v>
      </c>
      <c r="D49" s="99">
        <v>8901</v>
      </c>
      <c r="E49" s="99">
        <v>1154</v>
      </c>
      <c r="F49" s="99" t="s">
        <v>381</v>
      </c>
      <c r="G49" s="99">
        <v>41</v>
      </c>
      <c r="H49" s="99">
        <v>25</v>
      </c>
      <c r="I49" s="99">
        <v>110</v>
      </c>
      <c r="J49" s="99">
        <v>615</v>
      </c>
      <c r="K49" s="99">
        <v>591</v>
      </c>
      <c r="L49" s="99">
        <v>1588</v>
      </c>
      <c r="M49" s="99">
        <v>388</v>
      </c>
      <c r="N49" s="99">
        <v>176</v>
      </c>
      <c r="O49" s="99">
        <v>172</v>
      </c>
      <c r="P49" s="159">
        <v>172</v>
      </c>
      <c r="Q49" s="99">
        <v>17</v>
      </c>
      <c r="R49" s="99">
        <v>42</v>
      </c>
      <c r="S49" s="99">
        <v>23</v>
      </c>
      <c r="T49" s="99">
        <v>18</v>
      </c>
      <c r="U49" s="99">
        <v>7</v>
      </c>
      <c r="V49" s="99">
        <v>45</v>
      </c>
      <c r="W49" s="99">
        <v>48</v>
      </c>
      <c r="X49" s="99">
        <v>41</v>
      </c>
      <c r="Y49" s="99">
        <v>82</v>
      </c>
      <c r="Z49" s="99">
        <v>43</v>
      </c>
      <c r="AA49" s="99" t="s">
        <v>609</v>
      </c>
      <c r="AB49" s="99" t="s">
        <v>609</v>
      </c>
      <c r="AC49" s="99" t="s">
        <v>609</v>
      </c>
      <c r="AD49" s="98" t="s">
        <v>358</v>
      </c>
      <c r="AE49" s="100">
        <v>0.12964835411751488</v>
      </c>
      <c r="AF49" s="100">
        <v>0.16</v>
      </c>
      <c r="AG49" s="98">
        <v>460.6224019773059</v>
      </c>
      <c r="AH49" s="98">
        <v>280.86731827884506</v>
      </c>
      <c r="AI49" s="100">
        <v>0.012</v>
      </c>
      <c r="AJ49" s="100">
        <v>0.778481</v>
      </c>
      <c r="AK49" s="100">
        <v>0.77154</v>
      </c>
      <c r="AL49" s="100">
        <v>0.749057</v>
      </c>
      <c r="AM49" s="100">
        <v>0.519411</v>
      </c>
      <c r="AN49" s="100">
        <v>0.505747</v>
      </c>
      <c r="AO49" s="98">
        <v>1932.3671497584542</v>
      </c>
      <c r="AP49" s="158">
        <v>1.211241455</v>
      </c>
      <c r="AQ49" s="100">
        <v>0.09883720930232558</v>
      </c>
      <c r="AR49" s="100">
        <v>0.40476190476190477</v>
      </c>
      <c r="AS49" s="98">
        <v>258.3979328165375</v>
      </c>
      <c r="AT49" s="98">
        <v>202.22446916076845</v>
      </c>
      <c r="AU49" s="98">
        <v>78.64284911807663</v>
      </c>
      <c r="AV49" s="98">
        <v>505.5611729019211</v>
      </c>
      <c r="AW49" s="98">
        <v>539.2652510953825</v>
      </c>
      <c r="AX49" s="98">
        <v>460.6224019773059</v>
      </c>
      <c r="AY49" s="98">
        <v>921.2448039546118</v>
      </c>
      <c r="AZ49" s="98">
        <v>483.09178743961354</v>
      </c>
      <c r="BA49" s="100" t="s">
        <v>609</v>
      </c>
      <c r="BB49" s="100" t="s">
        <v>609</v>
      </c>
      <c r="BC49" s="100" t="s">
        <v>609</v>
      </c>
      <c r="BD49" s="158">
        <v>1.036985779</v>
      </c>
      <c r="BE49" s="158">
        <v>1.406399231</v>
      </c>
      <c r="BF49" s="162">
        <v>790</v>
      </c>
      <c r="BG49" s="162">
        <v>766</v>
      </c>
      <c r="BH49" s="162">
        <v>2120</v>
      </c>
      <c r="BI49" s="162">
        <v>747</v>
      </c>
      <c r="BJ49" s="162">
        <v>348</v>
      </c>
      <c r="BK49" s="97"/>
      <c r="BL49" s="97"/>
      <c r="BM49" s="97"/>
      <c r="BN49" s="97"/>
    </row>
    <row r="50" spans="1:66" ht="12.75">
      <c r="A50" s="79" t="s">
        <v>551</v>
      </c>
      <c r="B50" s="79" t="s">
        <v>292</v>
      </c>
      <c r="C50" s="79" t="s">
        <v>226</v>
      </c>
      <c r="D50" s="99">
        <v>12712</v>
      </c>
      <c r="E50" s="99">
        <v>1861</v>
      </c>
      <c r="F50" s="99" t="s">
        <v>381</v>
      </c>
      <c r="G50" s="99">
        <v>43</v>
      </c>
      <c r="H50" s="99">
        <v>26</v>
      </c>
      <c r="I50" s="99">
        <v>164</v>
      </c>
      <c r="J50" s="99">
        <v>880</v>
      </c>
      <c r="K50" s="99" t="s">
        <v>609</v>
      </c>
      <c r="L50" s="99">
        <v>2226</v>
      </c>
      <c r="M50" s="99">
        <v>588</v>
      </c>
      <c r="N50" s="99">
        <v>312</v>
      </c>
      <c r="O50" s="99">
        <v>273</v>
      </c>
      <c r="P50" s="159">
        <v>273</v>
      </c>
      <c r="Q50" s="99">
        <v>22</v>
      </c>
      <c r="R50" s="99">
        <v>48</v>
      </c>
      <c r="S50" s="99">
        <v>63</v>
      </c>
      <c r="T50" s="99">
        <v>48</v>
      </c>
      <c r="U50" s="99">
        <v>9</v>
      </c>
      <c r="V50" s="99">
        <v>37</v>
      </c>
      <c r="W50" s="99">
        <v>76</v>
      </c>
      <c r="X50" s="99">
        <v>41</v>
      </c>
      <c r="Y50" s="99">
        <v>109</v>
      </c>
      <c r="Z50" s="99">
        <v>56</v>
      </c>
      <c r="AA50" s="99" t="s">
        <v>609</v>
      </c>
      <c r="AB50" s="99" t="s">
        <v>609</v>
      </c>
      <c r="AC50" s="99" t="s">
        <v>609</v>
      </c>
      <c r="AD50" s="98" t="s">
        <v>358</v>
      </c>
      <c r="AE50" s="100">
        <v>0.14639710509754564</v>
      </c>
      <c r="AF50" s="100">
        <v>0.15</v>
      </c>
      <c r="AG50" s="98">
        <v>338.26305852737573</v>
      </c>
      <c r="AH50" s="98">
        <v>204.53115166771553</v>
      </c>
      <c r="AI50" s="100">
        <v>0.013000000000000001</v>
      </c>
      <c r="AJ50" s="100">
        <v>0.709677</v>
      </c>
      <c r="AK50" s="100" t="s">
        <v>609</v>
      </c>
      <c r="AL50" s="100">
        <v>0.757143</v>
      </c>
      <c r="AM50" s="100">
        <v>0.499151</v>
      </c>
      <c r="AN50" s="100">
        <v>0.519135</v>
      </c>
      <c r="AO50" s="98">
        <v>2147.5770925110132</v>
      </c>
      <c r="AP50" s="158">
        <v>1.264443741</v>
      </c>
      <c r="AQ50" s="100">
        <v>0.08058608058608059</v>
      </c>
      <c r="AR50" s="100">
        <v>0.4583333333333333</v>
      </c>
      <c r="AS50" s="98">
        <v>495.5947136563877</v>
      </c>
      <c r="AT50" s="98">
        <v>377.5959723096287</v>
      </c>
      <c r="AU50" s="98">
        <v>70.79924480805538</v>
      </c>
      <c r="AV50" s="98">
        <v>291.0635619886721</v>
      </c>
      <c r="AW50" s="98">
        <v>597.8602894902455</v>
      </c>
      <c r="AX50" s="98">
        <v>322.5298930144745</v>
      </c>
      <c r="AY50" s="98">
        <v>857.4575204531152</v>
      </c>
      <c r="AZ50" s="98">
        <v>440.52863436123346</v>
      </c>
      <c r="BA50" s="100" t="s">
        <v>609</v>
      </c>
      <c r="BB50" s="100" t="s">
        <v>609</v>
      </c>
      <c r="BC50" s="100" t="s">
        <v>609</v>
      </c>
      <c r="BD50" s="158">
        <v>1.1188862609999999</v>
      </c>
      <c r="BE50" s="158">
        <v>1.423678894</v>
      </c>
      <c r="BF50" s="162">
        <v>1240</v>
      </c>
      <c r="BG50" s="162" t="s">
        <v>609</v>
      </c>
      <c r="BH50" s="162">
        <v>2940</v>
      </c>
      <c r="BI50" s="162">
        <v>1178</v>
      </c>
      <c r="BJ50" s="162">
        <v>601</v>
      </c>
      <c r="BK50" s="97"/>
      <c r="BL50" s="97"/>
      <c r="BM50" s="97"/>
      <c r="BN50" s="97"/>
    </row>
    <row r="51" spans="1:66" ht="12.75">
      <c r="A51" s="79" t="s">
        <v>567</v>
      </c>
      <c r="B51" s="79" t="s">
        <v>312</v>
      </c>
      <c r="C51" s="79" t="s">
        <v>226</v>
      </c>
      <c r="D51" s="99">
        <v>13663</v>
      </c>
      <c r="E51" s="99">
        <v>2306</v>
      </c>
      <c r="F51" s="99" t="s">
        <v>380</v>
      </c>
      <c r="G51" s="99">
        <v>74</v>
      </c>
      <c r="H51" s="99">
        <v>37</v>
      </c>
      <c r="I51" s="99">
        <v>269</v>
      </c>
      <c r="J51" s="99">
        <v>1273</v>
      </c>
      <c r="K51" s="99">
        <v>12</v>
      </c>
      <c r="L51" s="99">
        <v>2410</v>
      </c>
      <c r="M51" s="99">
        <v>943</v>
      </c>
      <c r="N51" s="99">
        <v>522</v>
      </c>
      <c r="O51" s="99">
        <v>267</v>
      </c>
      <c r="P51" s="159">
        <v>267</v>
      </c>
      <c r="Q51" s="99">
        <v>27</v>
      </c>
      <c r="R51" s="99">
        <v>65</v>
      </c>
      <c r="S51" s="99">
        <v>56</v>
      </c>
      <c r="T51" s="99">
        <v>45</v>
      </c>
      <c r="U51" s="99">
        <v>13</v>
      </c>
      <c r="V51" s="99">
        <v>22</v>
      </c>
      <c r="W51" s="99">
        <v>45</v>
      </c>
      <c r="X51" s="99">
        <v>108</v>
      </c>
      <c r="Y51" s="99">
        <v>108</v>
      </c>
      <c r="Z51" s="99">
        <v>66</v>
      </c>
      <c r="AA51" s="99" t="s">
        <v>609</v>
      </c>
      <c r="AB51" s="99" t="s">
        <v>609</v>
      </c>
      <c r="AC51" s="99" t="s">
        <v>609</v>
      </c>
      <c r="AD51" s="98" t="s">
        <v>358</v>
      </c>
      <c r="AE51" s="100">
        <v>0.1687769889482544</v>
      </c>
      <c r="AF51" s="100">
        <v>0.12</v>
      </c>
      <c r="AG51" s="98">
        <v>541.6087242918832</v>
      </c>
      <c r="AH51" s="98">
        <v>270.8043621459416</v>
      </c>
      <c r="AI51" s="100">
        <v>0.02</v>
      </c>
      <c r="AJ51" s="100">
        <v>0.749264</v>
      </c>
      <c r="AK51" s="100">
        <v>0.571429</v>
      </c>
      <c r="AL51" s="100">
        <v>0.727877</v>
      </c>
      <c r="AM51" s="100">
        <v>0.590852</v>
      </c>
      <c r="AN51" s="100">
        <v>0.625899</v>
      </c>
      <c r="AO51" s="98">
        <v>1954.1828295396326</v>
      </c>
      <c r="AP51" s="158">
        <v>1.046859055</v>
      </c>
      <c r="AQ51" s="100">
        <v>0.10112359550561797</v>
      </c>
      <c r="AR51" s="100">
        <v>0.4153846153846154</v>
      </c>
      <c r="AS51" s="98">
        <v>409.86606162629</v>
      </c>
      <c r="AT51" s="98">
        <v>329.356656663983</v>
      </c>
      <c r="AU51" s="98">
        <v>95.14747859181732</v>
      </c>
      <c r="AV51" s="98">
        <v>161.01880992461392</v>
      </c>
      <c r="AW51" s="98">
        <v>329.356656663983</v>
      </c>
      <c r="AX51" s="98">
        <v>790.4559759935593</v>
      </c>
      <c r="AY51" s="98">
        <v>790.4559759935593</v>
      </c>
      <c r="AZ51" s="98">
        <v>483.0564297738418</v>
      </c>
      <c r="BA51" s="100" t="s">
        <v>609</v>
      </c>
      <c r="BB51" s="100" t="s">
        <v>609</v>
      </c>
      <c r="BC51" s="100" t="s">
        <v>609</v>
      </c>
      <c r="BD51" s="158">
        <v>0.9250444794</v>
      </c>
      <c r="BE51" s="158">
        <v>1.180254822</v>
      </c>
      <c r="BF51" s="162">
        <v>1699</v>
      </c>
      <c r="BG51" s="162">
        <v>21</v>
      </c>
      <c r="BH51" s="162">
        <v>3311</v>
      </c>
      <c r="BI51" s="162">
        <v>1596</v>
      </c>
      <c r="BJ51" s="162">
        <v>834</v>
      </c>
      <c r="BK51" s="97"/>
      <c r="BL51" s="97"/>
      <c r="BM51" s="97"/>
      <c r="BN51" s="97"/>
    </row>
    <row r="52" spans="1:66" ht="12.75">
      <c r="A52" s="79" t="s">
        <v>586</v>
      </c>
      <c r="B52" s="79" t="s">
        <v>337</v>
      </c>
      <c r="C52" s="79" t="s">
        <v>226</v>
      </c>
      <c r="D52" s="99">
        <v>2781</v>
      </c>
      <c r="E52" s="99">
        <v>154</v>
      </c>
      <c r="F52" s="99" t="s">
        <v>378</v>
      </c>
      <c r="G52" s="99">
        <v>7</v>
      </c>
      <c r="H52" s="99" t="s">
        <v>609</v>
      </c>
      <c r="I52" s="99">
        <v>10</v>
      </c>
      <c r="J52" s="99">
        <v>196</v>
      </c>
      <c r="K52" s="99" t="s">
        <v>609</v>
      </c>
      <c r="L52" s="99">
        <v>535</v>
      </c>
      <c r="M52" s="99">
        <v>84</v>
      </c>
      <c r="N52" s="99">
        <v>45</v>
      </c>
      <c r="O52" s="99">
        <v>35</v>
      </c>
      <c r="P52" s="159">
        <v>35</v>
      </c>
      <c r="Q52" s="99" t="s">
        <v>609</v>
      </c>
      <c r="R52" s="99">
        <v>9</v>
      </c>
      <c r="S52" s="99">
        <v>12</v>
      </c>
      <c r="T52" s="99" t="s">
        <v>609</v>
      </c>
      <c r="U52" s="99" t="s">
        <v>609</v>
      </c>
      <c r="V52" s="99">
        <v>8</v>
      </c>
      <c r="W52" s="99">
        <v>20</v>
      </c>
      <c r="X52" s="99">
        <v>14</v>
      </c>
      <c r="Y52" s="99">
        <v>19</v>
      </c>
      <c r="Z52" s="99" t="s">
        <v>609</v>
      </c>
      <c r="AA52" s="99" t="s">
        <v>609</v>
      </c>
      <c r="AB52" s="99" t="s">
        <v>609</v>
      </c>
      <c r="AC52" s="99" t="s">
        <v>609</v>
      </c>
      <c r="AD52" s="98" t="s">
        <v>358</v>
      </c>
      <c r="AE52" s="100">
        <v>0.05537576411362819</v>
      </c>
      <c r="AF52" s="100">
        <v>0.21</v>
      </c>
      <c r="AG52" s="98">
        <v>251.70801869830996</v>
      </c>
      <c r="AH52" s="98" t="s">
        <v>609</v>
      </c>
      <c r="AI52" s="100">
        <v>0.004</v>
      </c>
      <c r="AJ52" s="100">
        <v>0.678201</v>
      </c>
      <c r="AK52" s="100" t="s">
        <v>609</v>
      </c>
      <c r="AL52" s="100">
        <v>0.689433</v>
      </c>
      <c r="AM52" s="100">
        <v>0.461538</v>
      </c>
      <c r="AN52" s="100">
        <v>0.505618</v>
      </c>
      <c r="AO52" s="98">
        <v>1258.54009349155</v>
      </c>
      <c r="AP52" s="158">
        <v>0.9383555603000001</v>
      </c>
      <c r="AQ52" s="100" t="s">
        <v>609</v>
      </c>
      <c r="AR52" s="100" t="s">
        <v>609</v>
      </c>
      <c r="AS52" s="98">
        <v>431.4994606256742</v>
      </c>
      <c r="AT52" s="98" t="s">
        <v>609</v>
      </c>
      <c r="AU52" s="98" t="s">
        <v>609</v>
      </c>
      <c r="AV52" s="98">
        <v>287.66630708378284</v>
      </c>
      <c r="AW52" s="98">
        <v>719.165767709457</v>
      </c>
      <c r="AX52" s="98">
        <v>503.4160373966199</v>
      </c>
      <c r="AY52" s="98">
        <v>683.2074793239842</v>
      </c>
      <c r="AZ52" s="98" t="s">
        <v>609</v>
      </c>
      <c r="BA52" s="100" t="s">
        <v>609</v>
      </c>
      <c r="BB52" s="100" t="s">
        <v>609</v>
      </c>
      <c r="BC52" s="100" t="s">
        <v>609</v>
      </c>
      <c r="BD52" s="158">
        <v>0.6535990142999999</v>
      </c>
      <c r="BE52" s="158">
        <v>1.30502533</v>
      </c>
      <c r="BF52" s="162">
        <v>289</v>
      </c>
      <c r="BG52" s="162" t="s">
        <v>609</v>
      </c>
      <c r="BH52" s="162">
        <v>776</v>
      </c>
      <c r="BI52" s="162">
        <v>182</v>
      </c>
      <c r="BJ52" s="162">
        <v>89</v>
      </c>
      <c r="BK52" s="97"/>
      <c r="BL52" s="97"/>
      <c r="BM52" s="97"/>
      <c r="BN52" s="97"/>
    </row>
    <row r="53" spans="1:66" ht="12.75">
      <c r="A53" s="79" t="s">
        <v>597</v>
      </c>
      <c r="B53" s="79" t="s">
        <v>351</v>
      </c>
      <c r="C53" s="79" t="s">
        <v>226</v>
      </c>
      <c r="D53" s="99">
        <v>5323</v>
      </c>
      <c r="E53" s="99">
        <v>95</v>
      </c>
      <c r="F53" s="99" t="s">
        <v>378</v>
      </c>
      <c r="G53" s="99" t="s">
        <v>609</v>
      </c>
      <c r="H53" s="99" t="s">
        <v>609</v>
      </c>
      <c r="I53" s="99">
        <v>16</v>
      </c>
      <c r="J53" s="99">
        <v>71</v>
      </c>
      <c r="K53" s="99">
        <v>7</v>
      </c>
      <c r="L53" s="99">
        <v>758</v>
      </c>
      <c r="M53" s="99">
        <v>37</v>
      </c>
      <c r="N53" s="99">
        <v>18</v>
      </c>
      <c r="O53" s="99">
        <v>42</v>
      </c>
      <c r="P53" s="159">
        <v>42</v>
      </c>
      <c r="Q53" s="99" t="s">
        <v>609</v>
      </c>
      <c r="R53" s="99">
        <v>9</v>
      </c>
      <c r="S53" s="99">
        <v>15</v>
      </c>
      <c r="T53" s="99">
        <v>6</v>
      </c>
      <c r="U53" s="99" t="s">
        <v>609</v>
      </c>
      <c r="V53" s="99" t="s">
        <v>609</v>
      </c>
      <c r="W53" s="99">
        <v>11</v>
      </c>
      <c r="X53" s="99">
        <v>12</v>
      </c>
      <c r="Y53" s="99">
        <v>40</v>
      </c>
      <c r="Z53" s="99">
        <v>24</v>
      </c>
      <c r="AA53" s="99" t="s">
        <v>609</v>
      </c>
      <c r="AB53" s="99" t="s">
        <v>609</v>
      </c>
      <c r="AC53" s="99" t="s">
        <v>609</v>
      </c>
      <c r="AD53" s="98" t="s">
        <v>358</v>
      </c>
      <c r="AE53" s="100">
        <v>0.01784707871501033</v>
      </c>
      <c r="AF53" s="100">
        <v>0.21</v>
      </c>
      <c r="AG53" s="98" t="s">
        <v>609</v>
      </c>
      <c r="AH53" s="98" t="s">
        <v>609</v>
      </c>
      <c r="AI53" s="100">
        <v>0.003</v>
      </c>
      <c r="AJ53" s="100">
        <v>0.430303</v>
      </c>
      <c r="AK53" s="100">
        <v>0.4375</v>
      </c>
      <c r="AL53" s="100">
        <v>0.576426</v>
      </c>
      <c r="AM53" s="100">
        <v>0.313559</v>
      </c>
      <c r="AN53" s="100">
        <v>0.3</v>
      </c>
      <c r="AO53" s="98">
        <v>789.0287431899305</v>
      </c>
      <c r="AP53" s="158">
        <v>0.8729237366</v>
      </c>
      <c r="AQ53" s="100" t="s">
        <v>609</v>
      </c>
      <c r="AR53" s="100" t="s">
        <v>609</v>
      </c>
      <c r="AS53" s="98">
        <v>281.79597971068944</v>
      </c>
      <c r="AT53" s="98">
        <v>112.71839188427579</v>
      </c>
      <c r="AU53" s="98" t="s">
        <v>609</v>
      </c>
      <c r="AV53" s="98" t="s">
        <v>609</v>
      </c>
      <c r="AW53" s="98">
        <v>206.65038512117226</v>
      </c>
      <c r="AX53" s="98">
        <v>225.43678376855158</v>
      </c>
      <c r="AY53" s="98">
        <v>751.4559458951719</v>
      </c>
      <c r="AZ53" s="98">
        <v>450.87356753710316</v>
      </c>
      <c r="BA53" s="100" t="s">
        <v>609</v>
      </c>
      <c r="BB53" s="100" t="s">
        <v>609</v>
      </c>
      <c r="BC53" s="100" t="s">
        <v>609</v>
      </c>
      <c r="BD53" s="158">
        <v>0.6291266632</v>
      </c>
      <c r="BE53" s="158">
        <v>1.179939346</v>
      </c>
      <c r="BF53" s="162">
        <v>165</v>
      </c>
      <c r="BG53" s="162">
        <v>16</v>
      </c>
      <c r="BH53" s="162">
        <v>1315</v>
      </c>
      <c r="BI53" s="162">
        <v>118</v>
      </c>
      <c r="BJ53" s="162">
        <v>60</v>
      </c>
      <c r="BK53" s="97"/>
      <c r="BL53" s="97"/>
      <c r="BM53" s="97"/>
      <c r="BN53" s="97"/>
    </row>
    <row r="54" spans="1:66" ht="12.75">
      <c r="A54" s="79" t="s">
        <v>618</v>
      </c>
      <c r="B54" s="79" t="s">
        <v>310</v>
      </c>
      <c r="C54" s="79" t="s">
        <v>226</v>
      </c>
      <c r="D54" s="99">
        <v>3884</v>
      </c>
      <c r="E54" s="99">
        <v>465</v>
      </c>
      <c r="F54" s="99" t="s">
        <v>378</v>
      </c>
      <c r="G54" s="99">
        <v>11</v>
      </c>
      <c r="H54" s="99">
        <v>7</v>
      </c>
      <c r="I54" s="99">
        <v>45</v>
      </c>
      <c r="J54" s="99">
        <v>254</v>
      </c>
      <c r="K54" s="99" t="s">
        <v>609</v>
      </c>
      <c r="L54" s="99">
        <v>577</v>
      </c>
      <c r="M54" s="99">
        <v>155</v>
      </c>
      <c r="N54" s="99">
        <v>79</v>
      </c>
      <c r="O54" s="99" t="s">
        <v>609</v>
      </c>
      <c r="P54" s="159" t="s">
        <v>609</v>
      </c>
      <c r="Q54" s="99">
        <v>6</v>
      </c>
      <c r="R54" s="99">
        <v>10</v>
      </c>
      <c r="S54" s="99" t="s">
        <v>609</v>
      </c>
      <c r="T54" s="99" t="s">
        <v>609</v>
      </c>
      <c r="U54" s="99" t="s">
        <v>609</v>
      </c>
      <c r="V54" s="99" t="s">
        <v>609</v>
      </c>
      <c r="W54" s="99" t="s">
        <v>609</v>
      </c>
      <c r="X54" s="99">
        <v>15</v>
      </c>
      <c r="Y54" s="99">
        <v>21</v>
      </c>
      <c r="Z54" s="99">
        <v>16</v>
      </c>
      <c r="AA54" s="99" t="s">
        <v>609</v>
      </c>
      <c r="AB54" s="99" t="s">
        <v>609</v>
      </c>
      <c r="AC54" s="99" t="s">
        <v>609</v>
      </c>
      <c r="AD54" s="98" t="s">
        <v>358</v>
      </c>
      <c r="AE54" s="100">
        <v>0.11972193614830072</v>
      </c>
      <c r="AF54" s="100">
        <v>0.18</v>
      </c>
      <c r="AG54" s="98">
        <v>283.21318228630275</v>
      </c>
      <c r="AH54" s="98">
        <v>180.22657054582905</v>
      </c>
      <c r="AI54" s="100">
        <v>0.012</v>
      </c>
      <c r="AJ54" s="100">
        <v>0.630273</v>
      </c>
      <c r="AK54" s="100" t="s">
        <v>609</v>
      </c>
      <c r="AL54" s="100">
        <v>0.625813</v>
      </c>
      <c r="AM54" s="100">
        <v>0.450581</v>
      </c>
      <c r="AN54" s="100">
        <v>0.467456</v>
      </c>
      <c r="AO54" s="98" t="s">
        <v>609</v>
      </c>
      <c r="AP54" s="158" t="s">
        <v>609</v>
      </c>
      <c r="AQ54" s="100" t="s">
        <v>609</v>
      </c>
      <c r="AR54" s="100">
        <v>0.6</v>
      </c>
      <c r="AS54" s="98" t="s">
        <v>609</v>
      </c>
      <c r="AT54" s="98" t="s">
        <v>609</v>
      </c>
      <c r="AU54" s="98" t="s">
        <v>609</v>
      </c>
      <c r="AV54" s="98" t="s">
        <v>609</v>
      </c>
      <c r="AW54" s="98" t="s">
        <v>609</v>
      </c>
      <c r="AX54" s="98">
        <v>386.19979402677654</v>
      </c>
      <c r="AY54" s="98">
        <v>540.6797116374871</v>
      </c>
      <c r="AZ54" s="98">
        <v>411.94644696189494</v>
      </c>
      <c r="BA54" s="100" t="s">
        <v>609</v>
      </c>
      <c r="BB54" s="100" t="s">
        <v>609</v>
      </c>
      <c r="BC54" s="100" t="s">
        <v>609</v>
      </c>
      <c r="BD54" s="158" t="s">
        <v>609</v>
      </c>
      <c r="BE54" s="158" t="s">
        <v>609</v>
      </c>
      <c r="BF54" s="162">
        <v>403</v>
      </c>
      <c r="BG54" s="162" t="s">
        <v>609</v>
      </c>
      <c r="BH54" s="162">
        <v>922</v>
      </c>
      <c r="BI54" s="162">
        <v>344</v>
      </c>
      <c r="BJ54" s="162">
        <v>169</v>
      </c>
      <c r="BK54" s="97"/>
      <c r="BL54" s="97"/>
      <c r="BM54" s="97"/>
      <c r="BN54" s="97"/>
    </row>
    <row r="55" spans="1:66" ht="12.75">
      <c r="A55" s="79" t="s">
        <v>547</v>
      </c>
      <c r="B55" s="79" t="s">
        <v>288</v>
      </c>
      <c r="C55" s="79" t="s">
        <v>226</v>
      </c>
      <c r="D55" s="99">
        <v>9362</v>
      </c>
      <c r="E55" s="99">
        <v>1492</v>
      </c>
      <c r="F55" s="99" t="s">
        <v>382</v>
      </c>
      <c r="G55" s="99">
        <v>46</v>
      </c>
      <c r="H55" s="99">
        <v>18</v>
      </c>
      <c r="I55" s="99">
        <v>144</v>
      </c>
      <c r="J55" s="99">
        <v>867</v>
      </c>
      <c r="K55" s="99">
        <v>19</v>
      </c>
      <c r="L55" s="99">
        <v>1427</v>
      </c>
      <c r="M55" s="99">
        <v>619</v>
      </c>
      <c r="N55" s="99">
        <v>303</v>
      </c>
      <c r="O55" s="99">
        <v>155</v>
      </c>
      <c r="P55" s="159">
        <v>155</v>
      </c>
      <c r="Q55" s="99">
        <v>8</v>
      </c>
      <c r="R55" s="99">
        <v>26</v>
      </c>
      <c r="S55" s="99">
        <v>26</v>
      </c>
      <c r="T55" s="99">
        <v>22</v>
      </c>
      <c r="U55" s="99">
        <v>6</v>
      </c>
      <c r="V55" s="99">
        <v>38</v>
      </c>
      <c r="W55" s="99">
        <v>50</v>
      </c>
      <c r="X55" s="99">
        <v>25</v>
      </c>
      <c r="Y55" s="99">
        <v>66</v>
      </c>
      <c r="Z55" s="99">
        <v>25</v>
      </c>
      <c r="AA55" s="99" t="s">
        <v>609</v>
      </c>
      <c r="AB55" s="99" t="s">
        <v>609</v>
      </c>
      <c r="AC55" s="99" t="s">
        <v>609</v>
      </c>
      <c r="AD55" s="98" t="s">
        <v>358</v>
      </c>
      <c r="AE55" s="100">
        <v>0.15936765648365733</v>
      </c>
      <c r="AF55" s="100">
        <v>0.07</v>
      </c>
      <c r="AG55" s="98">
        <v>491.3480025635548</v>
      </c>
      <c r="AH55" s="98">
        <v>192.2666096987823</v>
      </c>
      <c r="AI55" s="100">
        <v>0.015</v>
      </c>
      <c r="AJ55" s="100">
        <v>0.799078</v>
      </c>
      <c r="AK55" s="100">
        <v>0.703704</v>
      </c>
      <c r="AL55" s="100">
        <v>0.788834</v>
      </c>
      <c r="AM55" s="100">
        <v>0.627153</v>
      </c>
      <c r="AN55" s="100">
        <v>0.633891</v>
      </c>
      <c r="AO55" s="98">
        <v>1655.6291390728477</v>
      </c>
      <c r="AP55" s="158">
        <v>0.9417711638999999</v>
      </c>
      <c r="AQ55" s="100">
        <v>0.05161290322580645</v>
      </c>
      <c r="AR55" s="100">
        <v>0.3076923076923077</v>
      </c>
      <c r="AS55" s="98">
        <v>277.71843623157446</v>
      </c>
      <c r="AT55" s="98">
        <v>234.99252296517838</v>
      </c>
      <c r="AU55" s="98">
        <v>64.0888698995941</v>
      </c>
      <c r="AV55" s="98">
        <v>405.89617603076266</v>
      </c>
      <c r="AW55" s="98">
        <v>534.0739158299509</v>
      </c>
      <c r="AX55" s="98">
        <v>267.03695791497546</v>
      </c>
      <c r="AY55" s="98">
        <v>704.9775688955351</v>
      </c>
      <c r="AZ55" s="98">
        <v>267.03695791497546</v>
      </c>
      <c r="BA55" s="100" t="s">
        <v>609</v>
      </c>
      <c r="BB55" s="100" t="s">
        <v>609</v>
      </c>
      <c r="BC55" s="100" t="s">
        <v>609</v>
      </c>
      <c r="BD55" s="158">
        <v>0.7993459319999999</v>
      </c>
      <c r="BE55" s="158">
        <v>1.102254486</v>
      </c>
      <c r="BF55" s="162">
        <v>1085</v>
      </c>
      <c r="BG55" s="162">
        <v>27</v>
      </c>
      <c r="BH55" s="162">
        <v>1809</v>
      </c>
      <c r="BI55" s="162">
        <v>987</v>
      </c>
      <c r="BJ55" s="162">
        <v>478</v>
      </c>
      <c r="BK55" s="97"/>
      <c r="BL55" s="97"/>
      <c r="BM55" s="97"/>
      <c r="BN55" s="97"/>
    </row>
    <row r="56" spans="1:66" ht="12.75">
      <c r="A56" s="79" t="s">
        <v>559</v>
      </c>
      <c r="B56" s="79" t="s">
        <v>300</v>
      </c>
      <c r="C56" s="79" t="s">
        <v>226</v>
      </c>
      <c r="D56" s="99">
        <v>10865</v>
      </c>
      <c r="E56" s="99">
        <v>2037</v>
      </c>
      <c r="F56" s="99" t="s">
        <v>382</v>
      </c>
      <c r="G56" s="99">
        <v>73</v>
      </c>
      <c r="H56" s="99">
        <v>25</v>
      </c>
      <c r="I56" s="99">
        <v>228</v>
      </c>
      <c r="J56" s="99">
        <v>1111</v>
      </c>
      <c r="K56" s="99">
        <v>12</v>
      </c>
      <c r="L56" s="99">
        <v>1953</v>
      </c>
      <c r="M56" s="99">
        <v>937</v>
      </c>
      <c r="N56" s="99">
        <v>508</v>
      </c>
      <c r="O56" s="99">
        <v>282</v>
      </c>
      <c r="P56" s="159">
        <v>282</v>
      </c>
      <c r="Q56" s="99">
        <v>24</v>
      </c>
      <c r="R56" s="99">
        <v>46</v>
      </c>
      <c r="S56" s="99">
        <v>51</v>
      </c>
      <c r="T56" s="99">
        <v>58</v>
      </c>
      <c r="U56" s="99">
        <v>7</v>
      </c>
      <c r="V56" s="99">
        <v>54</v>
      </c>
      <c r="W56" s="99">
        <v>76</v>
      </c>
      <c r="X56" s="99">
        <v>30</v>
      </c>
      <c r="Y56" s="99">
        <v>113</v>
      </c>
      <c r="Z56" s="99">
        <v>58</v>
      </c>
      <c r="AA56" s="99" t="s">
        <v>609</v>
      </c>
      <c r="AB56" s="99" t="s">
        <v>609</v>
      </c>
      <c r="AC56" s="99" t="s">
        <v>609</v>
      </c>
      <c r="AD56" s="98" t="s">
        <v>358</v>
      </c>
      <c r="AE56" s="100">
        <v>0.1874827427519558</v>
      </c>
      <c r="AF56" s="100">
        <v>0.06</v>
      </c>
      <c r="AG56" s="98">
        <v>671.8821905200184</v>
      </c>
      <c r="AH56" s="98">
        <v>230.0966405890474</v>
      </c>
      <c r="AI56" s="100">
        <v>0.021</v>
      </c>
      <c r="AJ56" s="100">
        <v>0.749157</v>
      </c>
      <c r="AK56" s="100">
        <v>0.631579</v>
      </c>
      <c r="AL56" s="100">
        <v>0.791971</v>
      </c>
      <c r="AM56" s="100">
        <v>0.667379</v>
      </c>
      <c r="AN56" s="100">
        <v>0.664052</v>
      </c>
      <c r="AO56" s="98">
        <v>2595.490105844455</v>
      </c>
      <c r="AP56" s="158">
        <v>1.311975098</v>
      </c>
      <c r="AQ56" s="100">
        <v>0.0851063829787234</v>
      </c>
      <c r="AR56" s="100">
        <v>0.5217391304347826</v>
      </c>
      <c r="AS56" s="98">
        <v>469.3971468016567</v>
      </c>
      <c r="AT56" s="98">
        <v>533.82420616659</v>
      </c>
      <c r="AU56" s="98">
        <v>64.42705936493327</v>
      </c>
      <c r="AV56" s="98">
        <v>497.0087436723424</v>
      </c>
      <c r="AW56" s="98">
        <v>699.4937873907041</v>
      </c>
      <c r="AX56" s="98">
        <v>276.1159687068569</v>
      </c>
      <c r="AY56" s="98">
        <v>1040.0368154624944</v>
      </c>
      <c r="AZ56" s="98">
        <v>533.82420616659</v>
      </c>
      <c r="BA56" s="100" t="s">
        <v>609</v>
      </c>
      <c r="BB56" s="100" t="s">
        <v>609</v>
      </c>
      <c r="BC56" s="100" t="s">
        <v>609</v>
      </c>
      <c r="BD56" s="158">
        <v>1.163302002</v>
      </c>
      <c r="BE56" s="158">
        <v>1.4743826290000002</v>
      </c>
      <c r="BF56" s="162">
        <v>1483</v>
      </c>
      <c r="BG56" s="162">
        <v>19</v>
      </c>
      <c r="BH56" s="162">
        <v>2466</v>
      </c>
      <c r="BI56" s="162">
        <v>1404</v>
      </c>
      <c r="BJ56" s="162">
        <v>765</v>
      </c>
      <c r="BK56" s="97"/>
      <c r="BL56" s="97"/>
      <c r="BM56" s="97"/>
      <c r="BN56" s="97"/>
    </row>
    <row r="57" spans="1:66" ht="12.75">
      <c r="A57" s="79" t="s">
        <v>570</v>
      </c>
      <c r="B57" s="79" t="s">
        <v>317</v>
      </c>
      <c r="C57" s="79" t="s">
        <v>226</v>
      </c>
      <c r="D57" s="99">
        <v>10185</v>
      </c>
      <c r="E57" s="99">
        <v>1940</v>
      </c>
      <c r="F57" s="99" t="s">
        <v>381</v>
      </c>
      <c r="G57" s="99">
        <v>48</v>
      </c>
      <c r="H57" s="99">
        <v>36</v>
      </c>
      <c r="I57" s="99">
        <v>182</v>
      </c>
      <c r="J57" s="99">
        <v>914</v>
      </c>
      <c r="K57" s="99" t="s">
        <v>609</v>
      </c>
      <c r="L57" s="99">
        <v>1828</v>
      </c>
      <c r="M57" s="99">
        <v>729</v>
      </c>
      <c r="N57" s="99">
        <v>367</v>
      </c>
      <c r="O57" s="99">
        <v>184</v>
      </c>
      <c r="P57" s="159">
        <v>184</v>
      </c>
      <c r="Q57" s="99">
        <v>29</v>
      </c>
      <c r="R57" s="99">
        <v>66</v>
      </c>
      <c r="S57" s="99">
        <v>59</v>
      </c>
      <c r="T57" s="99">
        <v>17</v>
      </c>
      <c r="U57" s="99" t="s">
        <v>609</v>
      </c>
      <c r="V57" s="99">
        <v>27</v>
      </c>
      <c r="W57" s="99">
        <v>50</v>
      </c>
      <c r="X57" s="99">
        <v>46</v>
      </c>
      <c r="Y57" s="99">
        <v>76</v>
      </c>
      <c r="Z57" s="99">
        <v>49</v>
      </c>
      <c r="AA57" s="99" t="s">
        <v>609</v>
      </c>
      <c r="AB57" s="99" t="s">
        <v>609</v>
      </c>
      <c r="AC57" s="99" t="s">
        <v>609</v>
      </c>
      <c r="AD57" s="98" t="s">
        <v>358</v>
      </c>
      <c r="AE57" s="100">
        <v>0.19047619047619047</v>
      </c>
      <c r="AF57" s="100">
        <v>0.14</v>
      </c>
      <c r="AG57" s="98">
        <v>471.28129602356404</v>
      </c>
      <c r="AH57" s="98">
        <v>353.46097201767304</v>
      </c>
      <c r="AI57" s="100">
        <v>0.018000000000000002</v>
      </c>
      <c r="AJ57" s="100">
        <v>0.704703</v>
      </c>
      <c r="AK57" s="100" t="s">
        <v>609</v>
      </c>
      <c r="AL57" s="100">
        <v>0.763257</v>
      </c>
      <c r="AM57" s="100">
        <v>0.569087</v>
      </c>
      <c r="AN57" s="100">
        <v>0.613712</v>
      </c>
      <c r="AO57" s="98">
        <v>1806.5783014236622</v>
      </c>
      <c r="AP57" s="158">
        <v>0.9117185211000001</v>
      </c>
      <c r="AQ57" s="100">
        <v>0.15760869565217392</v>
      </c>
      <c r="AR57" s="100">
        <v>0.4393939393939394</v>
      </c>
      <c r="AS57" s="98">
        <v>579.2832596956308</v>
      </c>
      <c r="AT57" s="98">
        <v>166.91212567501228</v>
      </c>
      <c r="AU57" s="98" t="s">
        <v>609</v>
      </c>
      <c r="AV57" s="98">
        <v>265.0957290132548</v>
      </c>
      <c r="AW57" s="98">
        <v>490.9180166912126</v>
      </c>
      <c r="AX57" s="98">
        <v>451.64457535591555</v>
      </c>
      <c r="AY57" s="98">
        <v>746.1953853706431</v>
      </c>
      <c r="AZ57" s="98">
        <v>481.0996563573883</v>
      </c>
      <c r="BA57" s="100" t="s">
        <v>609</v>
      </c>
      <c r="BB57" s="100" t="s">
        <v>609</v>
      </c>
      <c r="BC57" s="100" t="s">
        <v>609</v>
      </c>
      <c r="BD57" s="158">
        <v>0.7847379302999999</v>
      </c>
      <c r="BE57" s="158">
        <v>1.0533943940000001</v>
      </c>
      <c r="BF57" s="162">
        <v>1297</v>
      </c>
      <c r="BG57" s="162" t="s">
        <v>609</v>
      </c>
      <c r="BH57" s="162">
        <v>2395</v>
      </c>
      <c r="BI57" s="162">
        <v>1281</v>
      </c>
      <c r="BJ57" s="162">
        <v>598</v>
      </c>
      <c r="BK57" s="97"/>
      <c r="BL57" s="97"/>
      <c r="BM57" s="97"/>
      <c r="BN57" s="97"/>
    </row>
    <row r="58" spans="1:66" ht="12.75">
      <c r="A58" s="79" t="s">
        <v>595</v>
      </c>
      <c r="B58" s="79" t="s">
        <v>349</v>
      </c>
      <c r="C58" s="79" t="s">
        <v>226</v>
      </c>
      <c r="D58" s="99">
        <v>4155</v>
      </c>
      <c r="E58" s="99">
        <v>290</v>
      </c>
      <c r="F58" s="99" t="s">
        <v>382</v>
      </c>
      <c r="G58" s="99" t="s">
        <v>609</v>
      </c>
      <c r="H58" s="99" t="s">
        <v>609</v>
      </c>
      <c r="I58" s="99">
        <v>29</v>
      </c>
      <c r="J58" s="99">
        <v>251</v>
      </c>
      <c r="K58" s="99" t="s">
        <v>609</v>
      </c>
      <c r="L58" s="99">
        <v>911</v>
      </c>
      <c r="M58" s="99">
        <v>179</v>
      </c>
      <c r="N58" s="99">
        <v>88</v>
      </c>
      <c r="O58" s="99">
        <v>23</v>
      </c>
      <c r="P58" s="159">
        <v>23</v>
      </c>
      <c r="Q58" s="99" t="s">
        <v>609</v>
      </c>
      <c r="R58" s="99">
        <v>7</v>
      </c>
      <c r="S58" s="99">
        <v>9</v>
      </c>
      <c r="T58" s="99" t="s">
        <v>609</v>
      </c>
      <c r="U58" s="99" t="s">
        <v>609</v>
      </c>
      <c r="V58" s="99" t="s">
        <v>609</v>
      </c>
      <c r="W58" s="99">
        <v>16</v>
      </c>
      <c r="X58" s="99">
        <v>15</v>
      </c>
      <c r="Y58" s="99">
        <v>19</v>
      </c>
      <c r="Z58" s="99">
        <v>16</v>
      </c>
      <c r="AA58" s="99" t="s">
        <v>609</v>
      </c>
      <c r="AB58" s="99" t="s">
        <v>609</v>
      </c>
      <c r="AC58" s="99" t="s">
        <v>609</v>
      </c>
      <c r="AD58" s="98" t="s">
        <v>358</v>
      </c>
      <c r="AE58" s="100">
        <v>0.06979542719614922</v>
      </c>
      <c r="AF58" s="100">
        <v>0.06</v>
      </c>
      <c r="AG58" s="98" t="s">
        <v>609</v>
      </c>
      <c r="AH58" s="98" t="s">
        <v>609</v>
      </c>
      <c r="AI58" s="100">
        <v>0.006999999999999999</v>
      </c>
      <c r="AJ58" s="100">
        <v>0.630653</v>
      </c>
      <c r="AK58" s="100" t="s">
        <v>609</v>
      </c>
      <c r="AL58" s="100">
        <v>0.831963</v>
      </c>
      <c r="AM58" s="100">
        <v>0.581169</v>
      </c>
      <c r="AN58" s="100">
        <v>0.628571</v>
      </c>
      <c r="AO58" s="98">
        <v>553.5499398315283</v>
      </c>
      <c r="AP58" s="158">
        <v>0.3863310623</v>
      </c>
      <c r="AQ58" s="100" t="s">
        <v>609</v>
      </c>
      <c r="AR58" s="100" t="s">
        <v>609</v>
      </c>
      <c r="AS58" s="98">
        <v>216.60649819494586</v>
      </c>
      <c r="AT58" s="98" t="s">
        <v>609</v>
      </c>
      <c r="AU58" s="98" t="s">
        <v>609</v>
      </c>
      <c r="AV58" s="98" t="s">
        <v>609</v>
      </c>
      <c r="AW58" s="98">
        <v>385.07821901323706</v>
      </c>
      <c r="AX58" s="98">
        <v>361.01083032490976</v>
      </c>
      <c r="AY58" s="98">
        <v>457.280385078219</v>
      </c>
      <c r="AZ58" s="98">
        <v>385.07821901323706</v>
      </c>
      <c r="BA58" s="100" t="s">
        <v>609</v>
      </c>
      <c r="BB58" s="100" t="s">
        <v>609</v>
      </c>
      <c r="BC58" s="100" t="s">
        <v>609</v>
      </c>
      <c r="BD58" s="158">
        <v>0.2449007607</v>
      </c>
      <c r="BE58" s="158">
        <v>0.5796862792999999</v>
      </c>
      <c r="BF58" s="162">
        <v>398</v>
      </c>
      <c r="BG58" s="162" t="s">
        <v>609</v>
      </c>
      <c r="BH58" s="162">
        <v>1095</v>
      </c>
      <c r="BI58" s="162">
        <v>308</v>
      </c>
      <c r="BJ58" s="162">
        <v>140</v>
      </c>
      <c r="BK58" s="97"/>
      <c r="BL58" s="97"/>
      <c r="BM58" s="97"/>
      <c r="BN58" s="97"/>
    </row>
    <row r="59" spans="1:66" ht="12.75">
      <c r="A59" s="79" t="s">
        <v>543</v>
      </c>
      <c r="B59" s="79" t="s">
        <v>282</v>
      </c>
      <c r="C59" s="79" t="s">
        <v>226</v>
      </c>
      <c r="D59" s="99">
        <v>8804</v>
      </c>
      <c r="E59" s="99">
        <v>1387</v>
      </c>
      <c r="F59" s="99" t="s">
        <v>381</v>
      </c>
      <c r="G59" s="99">
        <v>33</v>
      </c>
      <c r="H59" s="99">
        <v>21</v>
      </c>
      <c r="I59" s="99">
        <v>111</v>
      </c>
      <c r="J59" s="99">
        <v>679</v>
      </c>
      <c r="K59" s="99" t="s">
        <v>609</v>
      </c>
      <c r="L59" s="99">
        <v>1546</v>
      </c>
      <c r="M59" s="99">
        <v>422</v>
      </c>
      <c r="N59" s="99">
        <v>213</v>
      </c>
      <c r="O59" s="99">
        <v>135</v>
      </c>
      <c r="P59" s="159">
        <v>135</v>
      </c>
      <c r="Q59" s="99">
        <v>19</v>
      </c>
      <c r="R59" s="99">
        <v>37</v>
      </c>
      <c r="S59" s="99">
        <v>38</v>
      </c>
      <c r="T59" s="99">
        <v>18</v>
      </c>
      <c r="U59" s="99" t="s">
        <v>609</v>
      </c>
      <c r="V59" s="99">
        <v>17</v>
      </c>
      <c r="W59" s="99">
        <v>38</v>
      </c>
      <c r="X59" s="99">
        <v>24</v>
      </c>
      <c r="Y59" s="99">
        <v>84</v>
      </c>
      <c r="Z59" s="99">
        <v>44</v>
      </c>
      <c r="AA59" s="99" t="s">
        <v>609</v>
      </c>
      <c r="AB59" s="99" t="s">
        <v>609</v>
      </c>
      <c r="AC59" s="99" t="s">
        <v>609</v>
      </c>
      <c r="AD59" s="98" t="s">
        <v>358</v>
      </c>
      <c r="AE59" s="100">
        <v>0.15754202635165834</v>
      </c>
      <c r="AF59" s="100">
        <v>0.15</v>
      </c>
      <c r="AG59" s="98">
        <v>374.82962289868243</v>
      </c>
      <c r="AH59" s="98">
        <v>238.5279418446161</v>
      </c>
      <c r="AI59" s="100">
        <v>0.013000000000000001</v>
      </c>
      <c r="AJ59" s="100">
        <v>0.676969</v>
      </c>
      <c r="AK59" s="100" t="s">
        <v>609</v>
      </c>
      <c r="AL59" s="100">
        <v>0.729245</v>
      </c>
      <c r="AM59" s="100">
        <v>0.468889</v>
      </c>
      <c r="AN59" s="100">
        <v>0.5</v>
      </c>
      <c r="AO59" s="98">
        <v>1533.3939118582462</v>
      </c>
      <c r="AP59" s="158">
        <v>0.8545870972</v>
      </c>
      <c r="AQ59" s="100">
        <v>0.14074074074074075</v>
      </c>
      <c r="AR59" s="100">
        <v>0.5135135135135135</v>
      </c>
      <c r="AS59" s="98">
        <v>431.62199000454336</v>
      </c>
      <c r="AT59" s="98">
        <v>204.4525215810995</v>
      </c>
      <c r="AU59" s="98" t="s">
        <v>609</v>
      </c>
      <c r="AV59" s="98">
        <v>193.0940481599273</v>
      </c>
      <c r="AW59" s="98">
        <v>431.62199000454336</v>
      </c>
      <c r="AX59" s="98">
        <v>272.60336210813267</v>
      </c>
      <c r="AY59" s="98">
        <v>954.1117673784644</v>
      </c>
      <c r="AZ59" s="98">
        <v>499.7728305315766</v>
      </c>
      <c r="BA59" s="100" t="s">
        <v>609</v>
      </c>
      <c r="BB59" s="100" t="s">
        <v>609</v>
      </c>
      <c r="BC59" s="100" t="s">
        <v>609</v>
      </c>
      <c r="BD59" s="158">
        <v>0.7165155792</v>
      </c>
      <c r="BE59" s="158">
        <v>1.011507263</v>
      </c>
      <c r="BF59" s="162">
        <v>1003</v>
      </c>
      <c r="BG59" s="162" t="s">
        <v>609</v>
      </c>
      <c r="BH59" s="162">
        <v>2120</v>
      </c>
      <c r="BI59" s="162">
        <v>900</v>
      </c>
      <c r="BJ59" s="162">
        <v>426</v>
      </c>
      <c r="BK59" s="97"/>
      <c r="BL59" s="97"/>
      <c r="BM59" s="97"/>
      <c r="BN59" s="97"/>
    </row>
    <row r="60" spans="1:66" ht="12.75">
      <c r="A60" s="79" t="s">
        <v>556</v>
      </c>
      <c r="B60" s="79" t="s">
        <v>297</v>
      </c>
      <c r="C60" s="79" t="s">
        <v>226</v>
      </c>
      <c r="D60" s="99">
        <v>3522</v>
      </c>
      <c r="E60" s="99">
        <v>236</v>
      </c>
      <c r="F60" s="99" t="s">
        <v>378</v>
      </c>
      <c r="G60" s="99">
        <v>7</v>
      </c>
      <c r="H60" s="99" t="s">
        <v>609</v>
      </c>
      <c r="I60" s="99">
        <v>32</v>
      </c>
      <c r="J60" s="99">
        <v>224</v>
      </c>
      <c r="K60" s="99" t="s">
        <v>609</v>
      </c>
      <c r="L60" s="99">
        <v>683</v>
      </c>
      <c r="M60" s="99">
        <v>84</v>
      </c>
      <c r="N60" s="99">
        <v>45</v>
      </c>
      <c r="O60" s="99">
        <v>29</v>
      </c>
      <c r="P60" s="159">
        <v>29</v>
      </c>
      <c r="Q60" s="99" t="s">
        <v>609</v>
      </c>
      <c r="R60" s="99">
        <v>9</v>
      </c>
      <c r="S60" s="99">
        <v>10</v>
      </c>
      <c r="T60" s="99" t="s">
        <v>609</v>
      </c>
      <c r="U60" s="99" t="s">
        <v>609</v>
      </c>
      <c r="V60" s="99" t="s">
        <v>609</v>
      </c>
      <c r="W60" s="99">
        <v>9</v>
      </c>
      <c r="X60" s="99">
        <v>9</v>
      </c>
      <c r="Y60" s="99">
        <v>16</v>
      </c>
      <c r="Z60" s="99">
        <v>13</v>
      </c>
      <c r="AA60" s="99" t="s">
        <v>609</v>
      </c>
      <c r="AB60" s="99" t="s">
        <v>609</v>
      </c>
      <c r="AC60" s="99" t="s">
        <v>609</v>
      </c>
      <c r="AD60" s="98" t="s">
        <v>358</v>
      </c>
      <c r="AE60" s="100">
        <v>0.06700738216922203</v>
      </c>
      <c r="AF60" s="100">
        <v>0.21</v>
      </c>
      <c r="AG60" s="98">
        <v>198.75070982396366</v>
      </c>
      <c r="AH60" s="98" t="s">
        <v>609</v>
      </c>
      <c r="AI60" s="100">
        <v>0.009000000000000001</v>
      </c>
      <c r="AJ60" s="100">
        <v>0.722581</v>
      </c>
      <c r="AK60" s="100" t="s">
        <v>609</v>
      </c>
      <c r="AL60" s="100">
        <v>0.813095</v>
      </c>
      <c r="AM60" s="100">
        <v>0.376682</v>
      </c>
      <c r="AN60" s="100">
        <v>0.432692</v>
      </c>
      <c r="AO60" s="98">
        <v>823.3957978421352</v>
      </c>
      <c r="AP60" s="158">
        <v>0.6419132233</v>
      </c>
      <c r="AQ60" s="100" t="s">
        <v>609</v>
      </c>
      <c r="AR60" s="100" t="s">
        <v>609</v>
      </c>
      <c r="AS60" s="98">
        <v>283.9295854628052</v>
      </c>
      <c r="AT60" s="98" t="s">
        <v>609</v>
      </c>
      <c r="AU60" s="98" t="s">
        <v>609</v>
      </c>
      <c r="AV60" s="98" t="s">
        <v>609</v>
      </c>
      <c r="AW60" s="98">
        <v>255.5366269165247</v>
      </c>
      <c r="AX60" s="98">
        <v>255.5366269165247</v>
      </c>
      <c r="AY60" s="98">
        <v>454.28733674048834</v>
      </c>
      <c r="AZ60" s="98">
        <v>369.1084611016468</v>
      </c>
      <c r="BA60" s="100" t="s">
        <v>609</v>
      </c>
      <c r="BB60" s="100" t="s">
        <v>609</v>
      </c>
      <c r="BC60" s="100" t="s">
        <v>609</v>
      </c>
      <c r="BD60" s="158">
        <v>0.4298993683</v>
      </c>
      <c r="BE60" s="158">
        <v>0.921894455</v>
      </c>
      <c r="BF60" s="162">
        <v>310</v>
      </c>
      <c r="BG60" s="162" t="s">
        <v>609</v>
      </c>
      <c r="BH60" s="162">
        <v>840</v>
      </c>
      <c r="BI60" s="162">
        <v>223</v>
      </c>
      <c r="BJ60" s="162">
        <v>104</v>
      </c>
      <c r="BK60" s="97"/>
      <c r="BL60" s="97"/>
      <c r="BM60" s="97"/>
      <c r="BN60" s="97"/>
    </row>
    <row r="61" spans="1:66" ht="12.75">
      <c r="A61" s="79" t="s">
        <v>557</v>
      </c>
      <c r="B61" s="79" t="s">
        <v>298</v>
      </c>
      <c r="C61" s="79" t="s">
        <v>226</v>
      </c>
      <c r="D61" s="99">
        <v>19592</v>
      </c>
      <c r="E61" s="99">
        <v>3276</v>
      </c>
      <c r="F61" s="99" t="s">
        <v>380</v>
      </c>
      <c r="G61" s="99">
        <v>43</v>
      </c>
      <c r="H61" s="99">
        <v>60</v>
      </c>
      <c r="I61" s="99">
        <v>386</v>
      </c>
      <c r="J61" s="99">
        <v>2070</v>
      </c>
      <c r="K61" s="99">
        <v>35</v>
      </c>
      <c r="L61" s="99">
        <v>3707</v>
      </c>
      <c r="M61" s="99">
        <v>1555</v>
      </c>
      <c r="N61" s="99">
        <v>834</v>
      </c>
      <c r="O61" s="99">
        <v>439</v>
      </c>
      <c r="P61" s="159">
        <v>439</v>
      </c>
      <c r="Q61" s="99">
        <v>42</v>
      </c>
      <c r="R61" s="99">
        <v>96</v>
      </c>
      <c r="S61" s="99">
        <v>131</v>
      </c>
      <c r="T61" s="99">
        <v>59</v>
      </c>
      <c r="U61" s="99">
        <v>11</v>
      </c>
      <c r="V61" s="99">
        <v>78</v>
      </c>
      <c r="W61" s="99">
        <v>82</v>
      </c>
      <c r="X61" s="99">
        <v>127</v>
      </c>
      <c r="Y61" s="99">
        <v>149</v>
      </c>
      <c r="Z61" s="99">
        <v>117</v>
      </c>
      <c r="AA61" s="99" t="s">
        <v>609</v>
      </c>
      <c r="AB61" s="99" t="s">
        <v>609</v>
      </c>
      <c r="AC61" s="99" t="s">
        <v>609</v>
      </c>
      <c r="AD61" s="98" t="s">
        <v>358</v>
      </c>
      <c r="AE61" s="100">
        <v>0.1672111065741119</v>
      </c>
      <c r="AF61" s="100">
        <v>0.11</v>
      </c>
      <c r="AG61" s="98">
        <v>219.4773376888526</v>
      </c>
      <c r="AH61" s="98">
        <v>306.2474479379338</v>
      </c>
      <c r="AI61" s="100">
        <v>0.02</v>
      </c>
      <c r="AJ61" s="100">
        <v>0.79646</v>
      </c>
      <c r="AK61" s="100">
        <v>0.744681</v>
      </c>
      <c r="AL61" s="100">
        <v>0.777475</v>
      </c>
      <c r="AM61" s="100">
        <v>0.615598</v>
      </c>
      <c r="AN61" s="100">
        <v>0.612335</v>
      </c>
      <c r="AO61" s="98">
        <v>2240.710494079216</v>
      </c>
      <c r="AP61" s="158">
        <v>1.183645096</v>
      </c>
      <c r="AQ61" s="100">
        <v>0.09567198177676538</v>
      </c>
      <c r="AR61" s="100">
        <v>0.4375</v>
      </c>
      <c r="AS61" s="98">
        <v>668.6402613311556</v>
      </c>
      <c r="AT61" s="98">
        <v>301.14332380563496</v>
      </c>
      <c r="AU61" s="98">
        <v>56.14536545528787</v>
      </c>
      <c r="AV61" s="98">
        <v>398.121682319314</v>
      </c>
      <c r="AW61" s="98">
        <v>418.5381788485096</v>
      </c>
      <c r="AX61" s="98">
        <v>648.22376480196</v>
      </c>
      <c r="AY61" s="98">
        <v>760.5144957125357</v>
      </c>
      <c r="AZ61" s="98">
        <v>597.182523478971</v>
      </c>
      <c r="BA61" s="100" t="s">
        <v>609</v>
      </c>
      <c r="BB61" s="100" t="s">
        <v>609</v>
      </c>
      <c r="BC61" s="100" t="s">
        <v>609</v>
      </c>
      <c r="BD61" s="158">
        <v>1.075495529</v>
      </c>
      <c r="BE61" s="158">
        <v>1.299723206</v>
      </c>
      <c r="BF61" s="162">
        <v>2599</v>
      </c>
      <c r="BG61" s="162">
        <v>47</v>
      </c>
      <c r="BH61" s="162">
        <v>4768</v>
      </c>
      <c r="BI61" s="162">
        <v>2526</v>
      </c>
      <c r="BJ61" s="162">
        <v>1362</v>
      </c>
      <c r="BK61" s="97"/>
      <c r="BL61" s="97"/>
      <c r="BM61" s="97"/>
      <c r="BN61" s="97"/>
    </row>
    <row r="62" spans="1:66" ht="12.75">
      <c r="A62" s="79" t="s">
        <v>554</v>
      </c>
      <c r="B62" s="79" t="s">
        <v>295</v>
      </c>
      <c r="C62" s="79" t="s">
        <v>226</v>
      </c>
      <c r="D62" s="99">
        <v>8799</v>
      </c>
      <c r="E62" s="99">
        <v>1439</v>
      </c>
      <c r="F62" s="99" t="s">
        <v>382</v>
      </c>
      <c r="G62" s="99">
        <v>46</v>
      </c>
      <c r="H62" s="99">
        <v>17</v>
      </c>
      <c r="I62" s="99">
        <v>165</v>
      </c>
      <c r="J62" s="99">
        <v>839</v>
      </c>
      <c r="K62" s="99">
        <v>11</v>
      </c>
      <c r="L62" s="99">
        <v>1703</v>
      </c>
      <c r="M62" s="99">
        <v>590</v>
      </c>
      <c r="N62" s="99">
        <v>309</v>
      </c>
      <c r="O62" s="99">
        <v>145</v>
      </c>
      <c r="P62" s="159">
        <v>145</v>
      </c>
      <c r="Q62" s="99">
        <v>23</v>
      </c>
      <c r="R62" s="99">
        <v>33</v>
      </c>
      <c r="S62" s="99">
        <v>39</v>
      </c>
      <c r="T62" s="99">
        <v>29</v>
      </c>
      <c r="U62" s="99">
        <v>7</v>
      </c>
      <c r="V62" s="99">
        <v>18</v>
      </c>
      <c r="W62" s="99">
        <v>59</v>
      </c>
      <c r="X62" s="99">
        <v>56</v>
      </c>
      <c r="Y62" s="99">
        <v>69</v>
      </c>
      <c r="Z62" s="99">
        <v>40</v>
      </c>
      <c r="AA62" s="99" t="s">
        <v>609</v>
      </c>
      <c r="AB62" s="99" t="s">
        <v>609</v>
      </c>
      <c r="AC62" s="99" t="s">
        <v>609</v>
      </c>
      <c r="AD62" s="98" t="s">
        <v>358</v>
      </c>
      <c r="AE62" s="100">
        <v>0.1635413115126719</v>
      </c>
      <c r="AF62" s="100">
        <v>0.05</v>
      </c>
      <c r="AG62" s="98">
        <v>522.78668030458</v>
      </c>
      <c r="AH62" s="98">
        <v>193.20377315604046</v>
      </c>
      <c r="AI62" s="100">
        <v>0.019</v>
      </c>
      <c r="AJ62" s="100">
        <v>0.75859</v>
      </c>
      <c r="AK62" s="100">
        <v>0.55</v>
      </c>
      <c r="AL62" s="100">
        <v>0.770588</v>
      </c>
      <c r="AM62" s="100">
        <v>0.561905</v>
      </c>
      <c r="AN62" s="100">
        <v>0.597679</v>
      </c>
      <c r="AO62" s="98">
        <v>1647.914535742698</v>
      </c>
      <c r="AP62" s="158">
        <v>0.867669754</v>
      </c>
      <c r="AQ62" s="100">
        <v>0.15862068965517243</v>
      </c>
      <c r="AR62" s="100">
        <v>0.696969696969697</v>
      </c>
      <c r="AS62" s="98">
        <v>443.2321854756222</v>
      </c>
      <c r="AT62" s="98">
        <v>329.5829071485396</v>
      </c>
      <c r="AU62" s="98">
        <v>79.55449482895784</v>
      </c>
      <c r="AV62" s="98">
        <v>204.56870098874873</v>
      </c>
      <c r="AW62" s="98">
        <v>670.5307421297874</v>
      </c>
      <c r="AX62" s="98">
        <v>636.4359586316627</v>
      </c>
      <c r="AY62" s="98">
        <v>784.1800204568701</v>
      </c>
      <c r="AZ62" s="98">
        <v>454.5971133083305</v>
      </c>
      <c r="BA62" s="100" t="s">
        <v>609</v>
      </c>
      <c r="BB62" s="100" t="s">
        <v>609</v>
      </c>
      <c r="BC62" s="100" t="s">
        <v>609</v>
      </c>
      <c r="BD62" s="158">
        <v>0.7321926879999999</v>
      </c>
      <c r="BE62" s="158">
        <v>1.02094696</v>
      </c>
      <c r="BF62" s="162">
        <v>1106</v>
      </c>
      <c r="BG62" s="162">
        <v>20</v>
      </c>
      <c r="BH62" s="162">
        <v>2210</v>
      </c>
      <c r="BI62" s="162">
        <v>1050</v>
      </c>
      <c r="BJ62" s="162">
        <v>517</v>
      </c>
      <c r="BK62" s="97"/>
      <c r="BL62" s="97"/>
      <c r="BM62" s="97"/>
      <c r="BN62" s="97"/>
    </row>
    <row r="63" spans="1:66" ht="12.75">
      <c r="A63" s="79" t="s">
        <v>590</v>
      </c>
      <c r="B63" s="79" t="s">
        <v>342</v>
      </c>
      <c r="C63" s="79" t="s">
        <v>226</v>
      </c>
      <c r="D63" s="99">
        <v>1110</v>
      </c>
      <c r="E63" s="99">
        <v>161</v>
      </c>
      <c r="F63" s="99" t="s">
        <v>380</v>
      </c>
      <c r="G63" s="99">
        <v>6</v>
      </c>
      <c r="H63" s="99" t="s">
        <v>609</v>
      </c>
      <c r="I63" s="99">
        <v>16</v>
      </c>
      <c r="J63" s="99">
        <v>82</v>
      </c>
      <c r="K63" s="99">
        <v>77</v>
      </c>
      <c r="L63" s="99">
        <v>179</v>
      </c>
      <c r="M63" s="99">
        <v>72</v>
      </c>
      <c r="N63" s="99">
        <v>40</v>
      </c>
      <c r="O63" s="99" t="s">
        <v>609</v>
      </c>
      <c r="P63" s="159" t="s">
        <v>609</v>
      </c>
      <c r="Q63" s="99" t="s">
        <v>609</v>
      </c>
      <c r="R63" s="99" t="s">
        <v>609</v>
      </c>
      <c r="S63" s="99" t="s">
        <v>609</v>
      </c>
      <c r="T63" s="99" t="s">
        <v>609</v>
      </c>
      <c r="U63" s="99" t="s">
        <v>609</v>
      </c>
      <c r="V63" s="99" t="s">
        <v>609</v>
      </c>
      <c r="W63" s="99" t="s">
        <v>609</v>
      </c>
      <c r="X63" s="99">
        <v>6</v>
      </c>
      <c r="Y63" s="99" t="s">
        <v>609</v>
      </c>
      <c r="Z63" s="99" t="s">
        <v>609</v>
      </c>
      <c r="AA63" s="99" t="s">
        <v>609</v>
      </c>
      <c r="AB63" s="99" t="s">
        <v>609</v>
      </c>
      <c r="AC63" s="99" t="s">
        <v>609</v>
      </c>
      <c r="AD63" s="98" t="s">
        <v>358</v>
      </c>
      <c r="AE63" s="100">
        <v>0.14504504504504503</v>
      </c>
      <c r="AF63" s="100">
        <v>0.12</v>
      </c>
      <c r="AG63" s="98">
        <v>540.5405405405405</v>
      </c>
      <c r="AH63" s="98" t="s">
        <v>609</v>
      </c>
      <c r="AI63" s="100">
        <v>0.013999999999999999</v>
      </c>
      <c r="AJ63" s="100">
        <v>0.683333</v>
      </c>
      <c r="AK63" s="100">
        <v>0.65812</v>
      </c>
      <c r="AL63" s="100">
        <v>0.739669</v>
      </c>
      <c r="AM63" s="100">
        <v>0.525547</v>
      </c>
      <c r="AN63" s="100">
        <v>0.512821</v>
      </c>
      <c r="AO63" s="98" t="s">
        <v>609</v>
      </c>
      <c r="AP63" s="158" t="s">
        <v>609</v>
      </c>
      <c r="AQ63" s="100" t="s">
        <v>609</v>
      </c>
      <c r="AR63" s="100" t="s">
        <v>609</v>
      </c>
      <c r="AS63" s="98" t="s">
        <v>609</v>
      </c>
      <c r="AT63" s="98" t="s">
        <v>609</v>
      </c>
      <c r="AU63" s="98" t="s">
        <v>609</v>
      </c>
      <c r="AV63" s="98" t="s">
        <v>609</v>
      </c>
      <c r="AW63" s="98" t="s">
        <v>609</v>
      </c>
      <c r="AX63" s="98">
        <v>540.5405405405405</v>
      </c>
      <c r="AY63" s="98" t="s">
        <v>609</v>
      </c>
      <c r="AZ63" s="98" t="s">
        <v>609</v>
      </c>
      <c r="BA63" s="100" t="s">
        <v>609</v>
      </c>
      <c r="BB63" s="100" t="s">
        <v>609</v>
      </c>
      <c r="BC63" s="100" t="s">
        <v>609</v>
      </c>
      <c r="BD63" s="158" t="s">
        <v>609</v>
      </c>
      <c r="BE63" s="158" t="s">
        <v>609</v>
      </c>
      <c r="BF63" s="162">
        <v>120</v>
      </c>
      <c r="BG63" s="162">
        <v>117</v>
      </c>
      <c r="BH63" s="162">
        <v>242</v>
      </c>
      <c r="BI63" s="162">
        <v>137</v>
      </c>
      <c r="BJ63" s="162">
        <v>78</v>
      </c>
      <c r="BK63" s="97"/>
      <c r="BL63" s="97"/>
      <c r="BM63" s="97"/>
      <c r="BN63" s="97"/>
    </row>
    <row r="64" spans="1:66" ht="12.75">
      <c r="A64" s="79" t="s">
        <v>596</v>
      </c>
      <c r="B64" s="79" t="s">
        <v>350</v>
      </c>
      <c r="C64" s="79" t="s">
        <v>226</v>
      </c>
      <c r="D64" s="99">
        <v>8035</v>
      </c>
      <c r="E64" s="99">
        <v>1171</v>
      </c>
      <c r="F64" s="99" t="s">
        <v>382</v>
      </c>
      <c r="G64" s="99">
        <v>41</v>
      </c>
      <c r="H64" s="99">
        <v>12</v>
      </c>
      <c r="I64" s="99">
        <v>147</v>
      </c>
      <c r="J64" s="99">
        <v>888</v>
      </c>
      <c r="K64" s="99">
        <v>860</v>
      </c>
      <c r="L64" s="99">
        <v>1694</v>
      </c>
      <c r="M64" s="99">
        <v>605</v>
      </c>
      <c r="N64" s="99">
        <v>321</v>
      </c>
      <c r="O64" s="99">
        <v>137</v>
      </c>
      <c r="P64" s="159">
        <v>137</v>
      </c>
      <c r="Q64" s="99">
        <v>16</v>
      </c>
      <c r="R64" s="99">
        <v>39</v>
      </c>
      <c r="S64" s="99">
        <v>20</v>
      </c>
      <c r="T64" s="99">
        <v>24</v>
      </c>
      <c r="U64" s="99" t="s">
        <v>609</v>
      </c>
      <c r="V64" s="99">
        <v>11</v>
      </c>
      <c r="W64" s="99">
        <v>47</v>
      </c>
      <c r="X64" s="99">
        <v>30</v>
      </c>
      <c r="Y64" s="99">
        <v>62</v>
      </c>
      <c r="Z64" s="99">
        <v>55</v>
      </c>
      <c r="AA64" s="99" t="s">
        <v>609</v>
      </c>
      <c r="AB64" s="99" t="s">
        <v>609</v>
      </c>
      <c r="AC64" s="99" t="s">
        <v>609</v>
      </c>
      <c r="AD64" s="98" t="s">
        <v>358</v>
      </c>
      <c r="AE64" s="100">
        <v>0.14573739887990045</v>
      </c>
      <c r="AF64" s="100">
        <v>0.06</v>
      </c>
      <c r="AG64" s="98">
        <v>510.2675793403858</v>
      </c>
      <c r="AH64" s="98">
        <v>149.34660858742998</v>
      </c>
      <c r="AI64" s="100">
        <v>0.018000000000000002</v>
      </c>
      <c r="AJ64" s="100">
        <v>0.828358</v>
      </c>
      <c r="AK64" s="100">
        <v>0.815939</v>
      </c>
      <c r="AL64" s="100">
        <v>0.817962</v>
      </c>
      <c r="AM64" s="100">
        <v>0.574004</v>
      </c>
      <c r="AN64" s="100">
        <v>0.625731</v>
      </c>
      <c r="AO64" s="98">
        <v>1705.0404480398258</v>
      </c>
      <c r="AP64" s="158">
        <v>0.9113363647</v>
      </c>
      <c r="AQ64" s="100">
        <v>0.11678832116788321</v>
      </c>
      <c r="AR64" s="100">
        <v>0.41025641025641024</v>
      </c>
      <c r="AS64" s="98">
        <v>248.91101431238332</v>
      </c>
      <c r="AT64" s="98">
        <v>298.69321717485997</v>
      </c>
      <c r="AU64" s="98" t="s">
        <v>609</v>
      </c>
      <c r="AV64" s="98">
        <v>136.90105787181082</v>
      </c>
      <c r="AW64" s="98">
        <v>584.9408836341008</v>
      </c>
      <c r="AX64" s="98">
        <v>373.366521468575</v>
      </c>
      <c r="AY64" s="98">
        <v>771.6241443683883</v>
      </c>
      <c r="AZ64" s="98">
        <v>684.5052893590541</v>
      </c>
      <c r="BA64" s="100" t="s">
        <v>609</v>
      </c>
      <c r="BB64" s="100" t="s">
        <v>609</v>
      </c>
      <c r="BC64" s="100" t="s">
        <v>609</v>
      </c>
      <c r="BD64" s="158">
        <v>0.7651269531</v>
      </c>
      <c r="BE64" s="158">
        <v>1.077348633</v>
      </c>
      <c r="BF64" s="162">
        <v>1072</v>
      </c>
      <c r="BG64" s="162">
        <v>1054</v>
      </c>
      <c r="BH64" s="162">
        <v>2071</v>
      </c>
      <c r="BI64" s="162">
        <v>1054</v>
      </c>
      <c r="BJ64" s="162">
        <v>513</v>
      </c>
      <c r="BK64" s="97"/>
      <c r="BL64" s="97"/>
      <c r="BM64" s="97"/>
      <c r="BN64" s="97"/>
    </row>
    <row r="65" spans="1:66" ht="12.75">
      <c r="A65" s="79" t="s">
        <v>563</v>
      </c>
      <c r="B65" s="79" t="s">
        <v>307</v>
      </c>
      <c r="C65" s="79" t="s">
        <v>226</v>
      </c>
      <c r="D65" s="99">
        <v>9400</v>
      </c>
      <c r="E65" s="99">
        <v>1519</v>
      </c>
      <c r="F65" s="99" t="s">
        <v>380</v>
      </c>
      <c r="G65" s="99">
        <v>34</v>
      </c>
      <c r="H65" s="99">
        <v>23</v>
      </c>
      <c r="I65" s="99">
        <v>168</v>
      </c>
      <c r="J65" s="99">
        <v>1027</v>
      </c>
      <c r="K65" s="99">
        <v>983</v>
      </c>
      <c r="L65" s="99">
        <v>1933</v>
      </c>
      <c r="M65" s="99">
        <v>690</v>
      </c>
      <c r="N65" s="99">
        <v>375</v>
      </c>
      <c r="O65" s="99">
        <v>147</v>
      </c>
      <c r="P65" s="159">
        <v>147</v>
      </c>
      <c r="Q65" s="99">
        <v>12</v>
      </c>
      <c r="R65" s="99">
        <v>36</v>
      </c>
      <c r="S65" s="99">
        <v>54</v>
      </c>
      <c r="T65" s="99">
        <v>20</v>
      </c>
      <c r="U65" s="99" t="s">
        <v>609</v>
      </c>
      <c r="V65" s="99">
        <v>26</v>
      </c>
      <c r="W65" s="99">
        <v>31</v>
      </c>
      <c r="X65" s="99">
        <v>53</v>
      </c>
      <c r="Y65" s="99">
        <v>60</v>
      </c>
      <c r="Z65" s="99">
        <v>50</v>
      </c>
      <c r="AA65" s="99" t="s">
        <v>609</v>
      </c>
      <c r="AB65" s="99" t="s">
        <v>609</v>
      </c>
      <c r="AC65" s="99" t="s">
        <v>609</v>
      </c>
      <c r="AD65" s="98" t="s">
        <v>358</v>
      </c>
      <c r="AE65" s="100">
        <v>0.16159574468085106</v>
      </c>
      <c r="AF65" s="100">
        <v>0.1</v>
      </c>
      <c r="AG65" s="98">
        <v>361.70212765957444</v>
      </c>
      <c r="AH65" s="98">
        <v>244.68085106382978</v>
      </c>
      <c r="AI65" s="100">
        <v>0.018000000000000002</v>
      </c>
      <c r="AJ65" s="100">
        <v>0.809299</v>
      </c>
      <c r="AK65" s="100">
        <v>0.804419</v>
      </c>
      <c r="AL65" s="100">
        <v>0.8408</v>
      </c>
      <c r="AM65" s="100">
        <v>0.574521</v>
      </c>
      <c r="AN65" s="100">
        <v>0.566465</v>
      </c>
      <c r="AO65" s="98">
        <v>1563.8297872340424</v>
      </c>
      <c r="AP65" s="158">
        <v>0.8180046844000001</v>
      </c>
      <c r="AQ65" s="100">
        <v>0.08163265306122448</v>
      </c>
      <c r="AR65" s="100">
        <v>0.3333333333333333</v>
      </c>
      <c r="AS65" s="98">
        <v>574.468085106383</v>
      </c>
      <c r="AT65" s="98">
        <v>212.7659574468085</v>
      </c>
      <c r="AU65" s="98" t="s">
        <v>609</v>
      </c>
      <c r="AV65" s="98">
        <v>276.59574468085106</v>
      </c>
      <c r="AW65" s="98">
        <v>329.78723404255317</v>
      </c>
      <c r="AX65" s="98">
        <v>563.8297872340426</v>
      </c>
      <c r="AY65" s="98">
        <v>638.2978723404256</v>
      </c>
      <c r="AZ65" s="98">
        <v>531.9148936170212</v>
      </c>
      <c r="BA65" s="100" t="s">
        <v>609</v>
      </c>
      <c r="BB65" s="100" t="s">
        <v>609</v>
      </c>
      <c r="BC65" s="100" t="s">
        <v>609</v>
      </c>
      <c r="BD65" s="158">
        <v>0.6911168671</v>
      </c>
      <c r="BE65" s="158">
        <v>0.9614424896</v>
      </c>
      <c r="BF65" s="162">
        <v>1269</v>
      </c>
      <c r="BG65" s="162">
        <v>1222</v>
      </c>
      <c r="BH65" s="162">
        <v>2299</v>
      </c>
      <c r="BI65" s="162">
        <v>1201</v>
      </c>
      <c r="BJ65" s="162">
        <v>662</v>
      </c>
      <c r="BK65" s="97"/>
      <c r="BL65" s="97"/>
      <c r="BM65" s="97"/>
      <c r="BN65" s="97"/>
    </row>
    <row r="66" spans="1:66" ht="12.75">
      <c r="A66" s="79" t="s">
        <v>575</v>
      </c>
      <c r="B66" s="79" t="s">
        <v>323</v>
      </c>
      <c r="C66" s="79" t="s">
        <v>226</v>
      </c>
      <c r="D66" s="99">
        <v>3731</v>
      </c>
      <c r="E66" s="99">
        <v>701</v>
      </c>
      <c r="F66" s="99" t="s">
        <v>381</v>
      </c>
      <c r="G66" s="99">
        <v>23</v>
      </c>
      <c r="H66" s="99">
        <v>13</v>
      </c>
      <c r="I66" s="99">
        <v>77</v>
      </c>
      <c r="J66" s="99">
        <v>324</v>
      </c>
      <c r="K66" s="99">
        <v>318</v>
      </c>
      <c r="L66" s="99">
        <v>632</v>
      </c>
      <c r="M66" s="99">
        <v>223</v>
      </c>
      <c r="N66" s="99">
        <v>115</v>
      </c>
      <c r="O66" s="99">
        <v>73</v>
      </c>
      <c r="P66" s="159">
        <v>73</v>
      </c>
      <c r="Q66" s="99">
        <v>10</v>
      </c>
      <c r="R66" s="99">
        <v>25</v>
      </c>
      <c r="S66" s="99">
        <v>6</v>
      </c>
      <c r="T66" s="99">
        <v>18</v>
      </c>
      <c r="U66" s="99" t="s">
        <v>609</v>
      </c>
      <c r="V66" s="99">
        <v>7</v>
      </c>
      <c r="W66" s="99">
        <v>19</v>
      </c>
      <c r="X66" s="99">
        <v>22</v>
      </c>
      <c r="Y66" s="99">
        <v>43</v>
      </c>
      <c r="Z66" s="99">
        <v>22</v>
      </c>
      <c r="AA66" s="99" t="s">
        <v>609</v>
      </c>
      <c r="AB66" s="99" t="s">
        <v>609</v>
      </c>
      <c r="AC66" s="99" t="s">
        <v>609</v>
      </c>
      <c r="AD66" s="98" t="s">
        <v>358</v>
      </c>
      <c r="AE66" s="100">
        <v>0.18788528544626107</v>
      </c>
      <c r="AF66" s="100">
        <v>0.13</v>
      </c>
      <c r="AG66" s="98">
        <v>616.4567140176896</v>
      </c>
      <c r="AH66" s="98">
        <v>348.4320557491289</v>
      </c>
      <c r="AI66" s="100">
        <v>0.021</v>
      </c>
      <c r="AJ66" s="100">
        <v>0.794118</v>
      </c>
      <c r="AK66" s="100">
        <v>0.798995</v>
      </c>
      <c r="AL66" s="100">
        <v>0.737456</v>
      </c>
      <c r="AM66" s="100">
        <v>0.506818</v>
      </c>
      <c r="AN66" s="100">
        <v>0.513393</v>
      </c>
      <c r="AO66" s="98">
        <v>1956.5800053604933</v>
      </c>
      <c r="AP66" s="158">
        <v>1.0157730870000001</v>
      </c>
      <c r="AQ66" s="100">
        <v>0.136986301369863</v>
      </c>
      <c r="AR66" s="100">
        <v>0.4</v>
      </c>
      <c r="AS66" s="98">
        <v>160.8147949611364</v>
      </c>
      <c r="AT66" s="98">
        <v>482.44438488340927</v>
      </c>
      <c r="AU66" s="98" t="s">
        <v>609</v>
      </c>
      <c r="AV66" s="98">
        <v>187.6172607879925</v>
      </c>
      <c r="AW66" s="98">
        <v>509.24685071026533</v>
      </c>
      <c r="AX66" s="98">
        <v>589.6542481908335</v>
      </c>
      <c r="AY66" s="98">
        <v>1152.506030554811</v>
      </c>
      <c r="AZ66" s="98">
        <v>589.6542481908335</v>
      </c>
      <c r="BA66" s="100" t="s">
        <v>609</v>
      </c>
      <c r="BB66" s="100" t="s">
        <v>609</v>
      </c>
      <c r="BC66" s="100" t="s">
        <v>609</v>
      </c>
      <c r="BD66" s="158">
        <v>0.7962039185</v>
      </c>
      <c r="BE66" s="158">
        <v>1.277182159</v>
      </c>
      <c r="BF66" s="162">
        <v>408</v>
      </c>
      <c r="BG66" s="162">
        <v>398</v>
      </c>
      <c r="BH66" s="162">
        <v>857</v>
      </c>
      <c r="BI66" s="162">
        <v>440</v>
      </c>
      <c r="BJ66" s="162">
        <v>224</v>
      </c>
      <c r="BK66" s="97"/>
      <c r="BL66" s="97"/>
      <c r="BM66" s="97"/>
      <c r="BN66" s="97"/>
    </row>
    <row r="67" spans="1:66" ht="12.75">
      <c r="A67" s="79" t="s">
        <v>555</v>
      </c>
      <c r="B67" s="79" t="s">
        <v>296</v>
      </c>
      <c r="C67" s="79" t="s">
        <v>226</v>
      </c>
      <c r="D67" s="99">
        <v>5850</v>
      </c>
      <c r="E67" s="99">
        <v>1087</v>
      </c>
      <c r="F67" s="99" t="s">
        <v>382</v>
      </c>
      <c r="G67" s="99">
        <v>27</v>
      </c>
      <c r="H67" s="99">
        <v>15</v>
      </c>
      <c r="I67" s="99">
        <v>97</v>
      </c>
      <c r="J67" s="99">
        <v>723</v>
      </c>
      <c r="K67" s="99">
        <v>675</v>
      </c>
      <c r="L67" s="99">
        <v>1106</v>
      </c>
      <c r="M67" s="99">
        <v>490</v>
      </c>
      <c r="N67" s="99">
        <v>230</v>
      </c>
      <c r="O67" s="99">
        <v>128</v>
      </c>
      <c r="P67" s="159">
        <v>128</v>
      </c>
      <c r="Q67" s="99">
        <v>13</v>
      </c>
      <c r="R67" s="99">
        <v>36</v>
      </c>
      <c r="S67" s="99">
        <v>21</v>
      </c>
      <c r="T67" s="99">
        <v>19</v>
      </c>
      <c r="U67" s="99" t="s">
        <v>609</v>
      </c>
      <c r="V67" s="99">
        <v>19</v>
      </c>
      <c r="W67" s="99">
        <v>34</v>
      </c>
      <c r="X67" s="99">
        <v>28</v>
      </c>
      <c r="Y67" s="99">
        <v>42</v>
      </c>
      <c r="Z67" s="99">
        <v>21</v>
      </c>
      <c r="AA67" s="99" t="s">
        <v>609</v>
      </c>
      <c r="AB67" s="99" t="s">
        <v>609</v>
      </c>
      <c r="AC67" s="99" t="s">
        <v>609</v>
      </c>
      <c r="AD67" s="98" t="s">
        <v>358</v>
      </c>
      <c r="AE67" s="100">
        <v>0.18581196581196582</v>
      </c>
      <c r="AF67" s="100">
        <v>0.06</v>
      </c>
      <c r="AG67" s="98">
        <v>461.53846153846155</v>
      </c>
      <c r="AH67" s="98">
        <v>256.4102564102564</v>
      </c>
      <c r="AI67" s="100">
        <v>0.017</v>
      </c>
      <c r="AJ67" s="100">
        <v>0.862768</v>
      </c>
      <c r="AK67" s="100">
        <v>0.811298</v>
      </c>
      <c r="AL67" s="100">
        <v>0.79</v>
      </c>
      <c r="AM67" s="100">
        <v>0.625798</v>
      </c>
      <c r="AN67" s="100">
        <v>0.638889</v>
      </c>
      <c r="AO67" s="98">
        <v>2188.034188034188</v>
      </c>
      <c r="AP67" s="158">
        <v>1.0673427580000001</v>
      </c>
      <c r="AQ67" s="100">
        <v>0.1015625</v>
      </c>
      <c r="AR67" s="100">
        <v>0.3611111111111111</v>
      </c>
      <c r="AS67" s="98">
        <v>358.97435897435895</v>
      </c>
      <c r="AT67" s="98">
        <v>324.78632478632477</v>
      </c>
      <c r="AU67" s="98" t="s">
        <v>609</v>
      </c>
      <c r="AV67" s="98">
        <v>324.78632478632477</v>
      </c>
      <c r="AW67" s="98">
        <v>581.1965811965812</v>
      </c>
      <c r="AX67" s="98">
        <v>478.63247863247864</v>
      </c>
      <c r="AY67" s="98">
        <v>717.9487179487179</v>
      </c>
      <c r="AZ67" s="98">
        <v>358.97435897435895</v>
      </c>
      <c r="BA67" s="100" t="s">
        <v>609</v>
      </c>
      <c r="BB67" s="100" t="s">
        <v>609</v>
      </c>
      <c r="BC67" s="100" t="s">
        <v>609</v>
      </c>
      <c r="BD67" s="158">
        <v>0.8904584502999999</v>
      </c>
      <c r="BE67" s="158">
        <v>1.2690740200000001</v>
      </c>
      <c r="BF67" s="162">
        <v>838</v>
      </c>
      <c r="BG67" s="162">
        <v>832</v>
      </c>
      <c r="BH67" s="162">
        <v>1400</v>
      </c>
      <c r="BI67" s="162">
        <v>783</v>
      </c>
      <c r="BJ67" s="162">
        <v>360</v>
      </c>
      <c r="BK67" s="97"/>
      <c r="BL67" s="97"/>
      <c r="BM67" s="97"/>
      <c r="BN67" s="97"/>
    </row>
    <row r="68" spans="1:66" ht="12.75">
      <c r="A68" s="79" t="s">
        <v>594</v>
      </c>
      <c r="B68" s="79" t="s">
        <v>347</v>
      </c>
      <c r="C68" s="79" t="s">
        <v>226</v>
      </c>
      <c r="D68" s="99">
        <v>5198</v>
      </c>
      <c r="E68" s="99">
        <v>655</v>
      </c>
      <c r="F68" s="99" t="s">
        <v>382</v>
      </c>
      <c r="G68" s="99">
        <v>23</v>
      </c>
      <c r="H68" s="99">
        <v>14</v>
      </c>
      <c r="I68" s="99">
        <v>71</v>
      </c>
      <c r="J68" s="99">
        <v>465</v>
      </c>
      <c r="K68" s="99">
        <v>7</v>
      </c>
      <c r="L68" s="99">
        <v>958</v>
      </c>
      <c r="M68" s="99">
        <v>317</v>
      </c>
      <c r="N68" s="99">
        <v>157</v>
      </c>
      <c r="O68" s="99">
        <v>96</v>
      </c>
      <c r="P68" s="159">
        <v>96</v>
      </c>
      <c r="Q68" s="99">
        <v>6</v>
      </c>
      <c r="R68" s="99">
        <v>10</v>
      </c>
      <c r="S68" s="99">
        <v>24</v>
      </c>
      <c r="T68" s="99">
        <v>17</v>
      </c>
      <c r="U68" s="99" t="s">
        <v>609</v>
      </c>
      <c r="V68" s="99">
        <v>11</v>
      </c>
      <c r="W68" s="99">
        <v>18</v>
      </c>
      <c r="X68" s="99">
        <v>34</v>
      </c>
      <c r="Y68" s="99">
        <v>52</v>
      </c>
      <c r="Z68" s="99">
        <v>25</v>
      </c>
      <c r="AA68" s="99" t="s">
        <v>609</v>
      </c>
      <c r="AB68" s="99" t="s">
        <v>609</v>
      </c>
      <c r="AC68" s="99" t="s">
        <v>609</v>
      </c>
      <c r="AD68" s="98" t="s">
        <v>358</v>
      </c>
      <c r="AE68" s="100">
        <v>0.1260100038476337</v>
      </c>
      <c r="AF68" s="100">
        <v>0.07</v>
      </c>
      <c r="AG68" s="98">
        <v>442.4778761061947</v>
      </c>
      <c r="AH68" s="98">
        <v>269.3343593689881</v>
      </c>
      <c r="AI68" s="100">
        <v>0.013999999999999999</v>
      </c>
      <c r="AJ68" s="100">
        <v>0.767327</v>
      </c>
      <c r="AK68" s="100">
        <v>0.636364</v>
      </c>
      <c r="AL68" s="100">
        <v>0.754331</v>
      </c>
      <c r="AM68" s="100">
        <v>0.557118</v>
      </c>
      <c r="AN68" s="100">
        <v>0.550877</v>
      </c>
      <c r="AO68" s="98">
        <v>1846.8641785302038</v>
      </c>
      <c r="AP68" s="158">
        <v>1.092413559</v>
      </c>
      <c r="AQ68" s="100">
        <v>0.0625</v>
      </c>
      <c r="AR68" s="100">
        <v>0.6</v>
      </c>
      <c r="AS68" s="98">
        <v>461.71604463255096</v>
      </c>
      <c r="AT68" s="98">
        <v>327.048864948057</v>
      </c>
      <c r="AU68" s="98" t="s">
        <v>609</v>
      </c>
      <c r="AV68" s="98">
        <v>211.6198537899192</v>
      </c>
      <c r="AW68" s="98">
        <v>346.28703347441325</v>
      </c>
      <c r="AX68" s="98">
        <v>654.097729896114</v>
      </c>
      <c r="AY68" s="98">
        <v>1000.3847633705271</v>
      </c>
      <c r="AZ68" s="98">
        <v>480.9542131589073</v>
      </c>
      <c r="BA68" s="100" t="s">
        <v>609</v>
      </c>
      <c r="BB68" s="100" t="s">
        <v>609</v>
      </c>
      <c r="BC68" s="100" t="s">
        <v>609</v>
      </c>
      <c r="BD68" s="158">
        <v>0.8848584747</v>
      </c>
      <c r="BE68" s="158">
        <v>1.334023895</v>
      </c>
      <c r="BF68" s="162">
        <v>606</v>
      </c>
      <c r="BG68" s="162">
        <v>11</v>
      </c>
      <c r="BH68" s="162">
        <v>1270</v>
      </c>
      <c r="BI68" s="162">
        <v>569</v>
      </c>
      <c r="BJ68" s="162">
        <v>285</v>
      </c>
      <c r="BK68" s="97"/>
      <c r="BL68" s="97"/>
      <c r="BM68" s="97"/>
      <c r="BN68" s="97"/>
    </row>
    <row r="69" spans="1:66" ht="12.75">
      <c r="A69" s="79" t="s">
        <v>560</v>
      </c>
      <c r="B69" s="79" t="s">
        <v>302</v>
      </c>
      <c r="C69" s="79" t="s">
        <v>226</v>
      </c>
      <c r="D69" s="99">
        <v>13750</v>
      </c>
      <c r="E69" s="99">
        <v>1494</v>
      </c>
      <c r="F69" s="99" t="s">
        <v>378</v>
      </c>
      <c r="G69" s="99">
        <v>48</v>
      </c>
      <c r="H69" s="99">
        <v>27</v>
      </c>
      <c r="I69" s="99">
        <v>211</v>
      </c>
      <c r="J69" s="99">
        <v>948</v>
      </c>
      <c r="K69" s="99">
        <v>230</v>
      </c>
      <c r="L69" s="99">
        <v>2618</v>
      </c>
      <c r="M69" s="99">
        <v>540</v>
      </c>
      <c r="N69" s="99">
        <v>282</v>
      </c>
      <c r="O69" s="99">
        <v>201</v>
      </c>
      <c r="P69" s="159">
        <v>201</v>
      </c>
      <c r="Q69" s="99">
        <v>28</v>
      </c>
      <c r="R69" s="99">
        <v>66</v>
      </c>
      <c r="S69" s="99">
        <v>32</v>
      </c>
      <c r="T69" s="99">
        <v>32</v>
      </c>
      <c r="U69" s="99">
        <v>8</v>
      </c>
      <c r="V69" s="99">
        <v>23</v>
      </c>
      <c r="W69" s="99">
        <v>56</v>
      </c>
      <c r="X69" s="99">
        <v>46</v>
      </c>
      <c r="Y69" s="99">
        <v>136</v>
      </c>
      <c r="Z69" s="99">
        <v>70</v>
      </c>
      <c r="AA69" s="99" t="s">
        <v>609</v>
      </c>
      <c r="AB69" s="99" t="s">
        <v>609</v>
      </c>
      <c r="AC69" s="99" t="s">
        <v>609</v>
      </c>
      <c r="AD69" s="98" t="s">
        <v>358</v>
      </c>
      <c r="AE69" s="100">
        <v>0.10865454545454545</v>
      </c>
      <c r="AF69" s="100">
        <v>0.18</v>
      </c>
      <c r="AG69" s="98">
        <v>349.09090909090907</v>
      </c>
      <c r="AH69" s="98">
        <v>196.36363636363637</v>
      </c>
      <c r="AI69" s="100">
        <v>0.015</v>
      </c>
      <c r="AJ69" s="100">
        <v>0.757794</v>
      </c>
      <c r="AK69" s="100">
        <v>0.657143</v>
      </c>
      <c r="AL69" s="100">
        <v>0.725409</v>
      </c>
      <c r="AM69" s="100">
        <v>0.493151</v>
      </c>
      <c r="AN69" s="100">
        <v>0.523191</v>
      </c>
      <c r="AO69" s="98">
        <v>1461.8181818181818</v>
      </c>
      <c r="AP69" s="158">
        <v>0.9508659362999999</v>
      </c>
      <c r="AQ69" s="100">
        <v>0.13930348258706468</v>
      </c>
      <c r="AR69" s="100">
        <v>0.42424242424242425</v>
      </c>
      <c r="AS69" s="98">
        <v>232.72727272727272</v>
      </c>
      <c r="AT69" s="98">
        <v>232.72727272727272</v>
      </c>
      <c r="AU69" s="98">
        <v>58.18181818181818</v>
      </c>
      <c r="AV69" s="98">
        <v>167.27272727272728</v>
      </c>
      <c r="AW69" s="98">
        <v>407.27272727272725</v>
      </c>
      <c r="AX69" s="98">
        <v>334.54545454545456</v>
      </c>
      <c r="AY69" s="98">
        <v>989.0909090909091</v>
      </c>
      <c r="AZ69" s="98">
        <v>509.09090909090907</v>
      </c>
      <c r="BA69" s="100" t="s">
        <v>609</v>
      </c>
      <c r="BB69" s="100" t="s">
        <v>609</v>
      </c>
      <c r="BC69" s="100" t="s">
        <v>609</v>
      </c>
      <c r="BD69" s="158">
        <v>0.8239496613</v>
      </c>
      <c r="BE69" s="158">
        <v>1.091797791</v>
      </c>
      <c r="BF69" s="162">
        <v>1251</v>
      </c>
      <c r="BG69" s="162">
        <v>350</v>
      </c>
      <c r="BH69" s="162">
        <v>3609</v>
      </c>
      <c r="BI69" s="162">
        <v>1095</v>
      </c>
      <c r="BJ69" s="162">
        <v>539</v>
      </c>
      <c r="BK69" s="97"/>
      <c r="BL69" s="97"/>
      <c r="BM69" s="97"/>
      <c r="BN69" s="97"/>
    </row>
    <row r="70" spans="1:66" ht="12.75">
      <c r="A70" s="79" t="s">
        <v>546</v>
      </c>
      <c r="B70" s="79" t="s">
        <v>287</v>
      </c>
      <c r="C70" s="79" t="s">
        <v>226</v>
      </c>
      <c r="D70" s="99">
        <v>8212</v>
      </c>
      <c r="E70" s="99">
        <v>1591</v>
      </c>
      <c r="F70" s="99" t="s">
        <v>380</v>
      </c>
      <c r="G70" s="99">
        <v>47</v>
      </c>
      <c r="H70" s="99">
        <v>23</v>
      </c>
      <c r="I70" s="99">
        <v>174</v>
      </c>
      <c r="J70" s="99">
        <v>933</v>
      </c>
      <c r="K70" s="99">
        <v>27</v>
      </c>
      <c r="L70" s="99">
        <v>1583</v>
      </c>
      <c r="M70" s="99">
        <v>688</v>
      </c>
      <c r="N70" s="99">
        <v>356</v>
      </c>
      <c r="O70" s="99">
        <v>188</v>
      </c>
      <c r="P70" s="159">
        <v>188</v>
      </c>
      <c r="Q70" s="99">
        <v>30</v>
      </c>
      <c r="R70" s="99">
        <v>45</v>
      </c>
      <c r="S70" s="99">
        <v>28</v>
      </c>
      <c r="T70" s="99">
        <v>33</v>
      </c>
      <c r="U70" s="99" t="s">
        <v>609</v>
      </c>
      <c r="V70" s="99">
        <v>51</v>
      </c>
      <c r="W70" s="99">
        <v>61</v>
      </c>
      <c r="X70" s="99">
        <v>48</v>
      </c>
      <c r="Y70" s="99">
        <v>63</v>
      </c>
      <c r="Z70" s="99">
        <v>57</v>
      </c>
      <c r="AA70" s="99" t="s">
        <v>609</v>
      </c>
      <c r="AB70" s="99" t="s">
        <v>609</v>
      </c>
      <c r="AC70" s="99" t="s">
        <v>609</v>
      </c>
      <c r="AD70" s="98" t="s">
        <v>358</v>
      </c>
      <c r="AE70" s="100">
        <v>0.1937408670238675</v>
      </c>
      <c r="AF70" s="100">
        <v>0.1</v>
      </c>
      <c r="AG70" s="98">
        <v>572.3331709693132</v>
      </c>
      <c r="AH70" s="98">
        <v>280.0779347296639</v>
      </c>
      <c r="AI70" s="100">
        <v>0.021</v>
      </c>
      <c r="AJ70" s="100">
        <v>0.779449</v>
      </c>
      <c r="AK70" s="100">
        <v>0.75</v>
      </c>
      <c r="AL70" s="100">
        <v>0.772195</v>
      </c>
      <c r="AM70" s="100">
        <v>0.581572</v>
      </c>
      <c r="AN70" s="100">
        <v>0.604414</v>
      </c>
      <c r="AO70" s="98">
        <v>2289.3326838772527</v>
      </c>
      <c r="AP70" s="158">
        <v>1.108130112</v>
      </c>
      <c r="AQ70" s="100">
        <v>0.1595744680851064</v>
      </c>
      <c r="AR70" s="100">
        <v>0.6666666666666666</v>
      </c>
      <c r="AS70" s="98">
        <v>340.96444227959086</v>
      </c>
      <c r="AT70" s="98">
        <v>401.8509498295178</v>
      </c>
      <c r="AU70" s="98" t="s">
        <v>609</v>
      </c>
      <c r="AV70" s="98">
        <v>621.0423770092548</v>
      </c>
      <c r="AW70" s="98">
        <v>742.8153921091086</v>
      </c>
      <c r="AX70" s="98">
        <v>584.5104724792986</v>
      </c>
      <c r="AY70" s="98">
        <v>767.1699951290794</v>
      </c>
      <c r="AZ70" s="98">
        <v>694.106186069167</v>
      </c>
      <c r="BA70" s="100" t="s">
        <v>609</v>
      </c>
      <c r="BB70" s="100" t="s">
        <v>609</v>
      </c>
      <c r="BC70" s="100" t="s">
        <v>609</v>
      </c>
      <c r="BD70" s="158">
        <v>0.955382843</v>
      </c>
      <c r="BE70" s="158">
        <v>1.278353882</v>
      </c>
      <c r="BF70" s="162">
        <v>1197</v>
      </c>
      <c r="BG70" s="162">
        <v>36</v>
      </c>
      <c r="BH70" s="162">
        <v>2050</v>
      </c>
      <c r="BI70" s="162">
        <v>1183</v>
      </c>
      <c r="BJ70" s="162">
        <v>589</v>
      </c>
      <c r="BK70" s="97"/>
      <c r="BL70" s="97"/>
      <c r="BM70" s="97"/>
      <c r="BN70" s="97"/>
    </row>
    <row r="71" spans="1:66" ht="12.75">
      <c r="A71" s="79" t="s">
        <v>548</v>
      </c>
      <c r="B71" s="79" t="s">
        <v>289</v>
      </c>
      <c r="C71" s="79" t="s">
        <v>226</v>
      </c>
      <c r="D71" s="99">
        <v>12263</v>
      </c>
      <c r="E71" s="99">
        <v>2090</v>
      </c>
      <c r="F71" s="99" t="s">
        <v>381</v>
      </c>
      <c r="G71" s="99">
        <v>68</v>
      </c>
      <c r="H71" s="99">
        <v>28</v>
      </c>
      <c r="I71" s="99">
        <v>264</v>
      </c>
      <c r="J71" s="99">
        <v>1322</v>
      </c>
      <c r="K71" s="99">
        <v>801</v>
      </c>
      <c r="L71" s="99">
        <v>2297</v>
      </c>
      <c r="M71" s="99">
        <v>939</v>
      </c>
      <c r="N71" s="99">
        <v>477</v>
      </c>
      <c r="O71" s="99">
        <v>233</v>
      </c>
      <c r="P71" s="159">
        <v>233</v>
      </c>
      <c r="Q71" s="99">
        <v>19</v>
      </c>
      <c r="R71" s="99">
        <v>63</v>
      </c>
      <c r="S71" s="99">
        <v>61</v>
      </c>
      <c r="T71" s="99">
        <v>28</v>
      </c>
      <c r="U71" s="99">
        <v>7</v>
      </c>
      <c r="V71" s="99">
        <v>26</v>
      </c>
      <c r="W71" s="99">
        <v>51</v>
      </c>
      <c r="X71" s="99">
        <v>90</v>
      </c>
      <c r="Y71" s="99">
        <v>93</v>
      </c>
      <c r="Z71" s="99">
        <v>78</v>
      </c>
      <c r="AA71" s="99" t="s">
        <v>609</v>
      </c>
      <c r="AB71" s="99" t="s">
        <v>609</v>
      </c>
      <c r="AC71" s="99" t="s">
        <v>609</v>
      </c>
      <c r="AD71" s="98" t="s">
        <v>358</v>
      </c>
      <c r="AE71" s="100">
        <v>0.1704313789447933</v>
      </c>
      <c r="AF71" s="100">
        <v>0.13</v>
      </c>
      <c r="AG71" s="98">
        <v>554.5135774280355</v>
      </c>
      <c r="AH71" s="98">
        <v>228.3291201174264</v>
      </c>
      <c r="AI71" s="100">
        <v>0.022000000000000002</v>
      </c>
      <c r="AJ71" s="100">
        <v>0.814039</v>
      </c>
      <c r="AK71" s="100">
        <v>0.799401</v>
      </c>
      <c r="AL71" s="100">
        <v>0.767971</v>
      </c>
      <c r="AM71" s="100">
        <v>0.621854</v>
      </c>
      <c r="AN71" s="100">
        <v>0.611538</v>
      </c>
      <c r="AO71" s="98">
        <v>1900.0244638342983</v>
      </c>
      <c r="AP71" s="158">
        <v>0.9990213013</v>
      </c>
      <c r="AQ71" s="100">
        <v>0.0815450643776824</v>
      </c>
      <c r="AR71" s="100">
        <v>0.30158730158730157</v>
      </c>
      <c r="AS71" s="98">
        <v>497.43129739867896</v>
      </c>
      <c r="AT71" s="98">
        <v>228.3291201174264</v>
      </c>
      <c r="AU71" s="98">
        <v>57.0822800293566</v>
      </c>
      <c r="AV71" s="98">
        <v>212.01989725189594</v>
      </c>
      <c r="AW71" s="98">
        <v>415.8851830710267</v>
      </c>
      <c r="AX71" s="98">
        <v>733.9150289488706</v>
      </c>
      <c r="AY71" s="98">
        <v>758.3788632471662</v>
      </c>
      <c r="AZ71" s="98">
        <v>636.0596917556878</v>
      </c>
      <c r="BA71" s="100" t="s">
        <v>609</v>
      </c>
      <c r="BB71" s="100" t="s">
        <v>609</v>
      </c>
      <c r="BC71" s="100" t="s">
        <v>609</v>
      </c>
      <c r="BD71" s="158">
        <v>0.8748535156</v>
      </c>
      <c r="BE71" s="158">
        <v>1.135871353</v>
      </c>
      <c r="BF71" s="162">
        <v>1624</v>
      </c>
      <c r="BG71" s="162">
        <v>1002</v>
      </c>
      <c r="BH71" s="162">
        <v>2991</v>
      </c>
      <c r="BI71" s="162">
        <v>1510</v>
      </c>
      <c r="BJ71" s="162">
        <v>780</v>
      </c>
      <c r="BK71" s="97"/>
      <c r="BL71" s="97"/>
      <c r="BM71" s="97"/>
      <c r="BN71" s="97"/>
    </row>
    <row r="72" spans="1:66" ht="12.75">
      <c r="A72" s="79" t="s">
        <v>582</v>
      </c>
      <c r="B72" s="79" t="s">
        <v>331</v>
      </c>
      <c r="C72" s="79" t="s">
        <v>226</v>
      </c>
      <c r="D72" s="99">
        <v>14109</v>
      </c>
      <c r="E72" s="99">
        <v>2145</v>
      </c>
      <c r="F72" s="99" t="s">
        <v>382</v>
      </c>
      <c r="G72" s="99">
        <v>64</v>
      </c>
      <c r="H72" s="99">
        <v>44</v>
      </c>
      <c r="I72" s="99">
        <v>256</v>
      </c>
      <c r="J72" s="99">
        <v>1572</v>
      </c>
      <c r="K72" s="99">
        <v>1520</v>
      </c>
      <c r="L72" s="99">
        <v>2911</v>
      </c>
      <c r="M72" s="99">
        <v>1070</v>
      </c>
      <c r="N72" s="99">
        <v>533</v>
      </c>
      <c r="O72" s="99">
        <v>160</v>
      </c>
      <c r="P72" s="159">
        <v>160</v>
      </c>
      <c r="Q72" s="99">
        <v>27</v>
      </c>
      <c r="R72" s="99">
        <v>66</v>
      </c>
      <c r="S72" s="99">
        <v>52</v>
      </c>
      <c r="T72" s="99">
        <v>18</v>
      </c>
      <c r="U72" s="99" t="s">
        <v>609</v>
      </c>
      <c r="V72" s="99">
        <v>12</v>
      </c>
      <c r="W72" s="99">
        <v>47</v>
      </c>
      <c r="X72" s="99">
        <v>46</v>
      </c>
      <c r="Y72" s="99">
        <v>58</v>
      </c>
      <c r="Z72" s="99">
        <v>37</v>
      </c>
      <c r="AA72" s="99" t="s">
        <v>609</v>
      </c>
      <c r="AB72" s="99" t="s">
        <v>609</v>
      </c>
      <c r="AC72" s="99" t="s">
        <v>609</v>
      </c>
      <c r="AD72" s="98" t="s">
        <v>358</v>
      </c>
      <c r="AE72" s="100">
        <v>0.15203061875398682</v>
      </c>
      <c r="AF72" s="100">
        <v>0.06</v>
      </c>
      <c r="AG72" s="98">
        <v>453.6111701750656</v>
      </c>
      <c r="AH72" s="98">
        <v>311.85767949535756</v>
      </c>
      <c r="AI72" s="100">
        <v>0.018000000000000002</v>
      </c>
      <c r="AJ72" s="100">
        <v>0.813665</v>
      </c>
      <c r="AK72" s="100">
        <v>0.808511</v>
      </c>
      <c r="AL72" s="100">
        <v>0.81381</v>
      </c>
      <c r="AM72" s="100">
        <v>0.615296</v>
      </c>
      <c r="AN72" s="100">
        <v>0.620489</v>
      </c>
      <c r="AO72" s="98">
        <v>1134.027925437664</v>
      </c>
      <c r="AP72" s="158">
        <v>0.5996085739</v>
      </c>
      <c r="AQ72" s="100">
        <v>0.16875</v>
      </c>
      <c r="AR72" s="100">
        <v>0.4090909090909091</v>
      </c>
      <c r="AS72" s="98">
        <v>368.55907576724076</v>
      </c>
      <c r="AT72" s="98">
        <v>127.5781416117372</v>
      </c>
      <c r="AU72" s="98" t="s">
        <v>609</v>
      </c>
      <c r="AV72" s="98">
        <v>85.0520944078248</v>
      </c>
      <c r="AW72" s="98">
        <v>333.12070309731376</v>
      </c>
      <c r="AX72" s="98">
        <v>326.03302856332834</v>
      </c>
      <c r="AY72" s="98">
        <v>411.08512297115317</v>
      </c>
      <c r="AZ72" s="98">
        <v>262.2439577574598</v>
      </c>
      <c r="BA72" s="100" t="s">
        <v>609</v>
      </c>
      <c r="BB72" s="100" t="s">
        <v>609</v>
      </c>
      <c r="BC72" s="100" t="s">
        <v>609</v>
      </c>
      <c r="BD72" s="158">
        <v>0.5102987671</v>
      </c>
      <c r="BE72" s="158">
        <v>0.7000518036</v>
      </c>
      <c r="BF72" s="162">
        <v>1932</v>
      </c>
      <c r="BG72" s="162">
        <v>1880</v>
      </c>
      <c r="BH72" s="162">
        <v>3577</v>
      </c>
      <c r="BI72" s="162">
        <v>1739</v>
      </c>
      <c r="BJ72" s="162">
        <v>859</v>
      </c>
      <c r="BK72" s="97"/>
      <c r="BL72" s="97"/>
      <c r="BM72" s="97"/>
      <c r="BN72" s="97"/>
    </row>
    <row r="73" spans="1:66" ht="12.75">
      <c r="A73" s="79" t="s">
        <v>558</v>
      </c>
      <c r="B73" s="79" t="s">
        <v>299</v>
      </c>
      <c r="C73" s="79" t="s">
        <v>226</v>
      </c>
      <c r="D73" s="99">
        <v>8197</v>
      </c>
      <c r="E73" s="99">
        <v>1158</v>
      </c>
      <c r="F73" s="99" t="s">
        <v>382</v>
      </c>
      <c r="G73" s="99">
        <v>40</v>
      </c>
      <c r="H73" s="99">
        <v>23</v>
      </c>
      <c r="I73" s="99">
        <v>168</v>
      </c>
      <c r="J73" s="99">
        <v>867</v>
      </c>
      <c r="K73" s="99">
        <v>661</v>
      </c>
      <c r="L73" s="99">
        <v>1677</v>
      </c>
      <c r="M73" s="99">
        <v>502</v>
      </c>
      <c r="N73" s="99">
        <v>256</v>
      </c>
      <c r="O73" s="99">
        <v>153</v>
      </c>
      <c r="P73" s="159">
        <v>153</v>
      </c>
      <c r="Q73" s="99">
        <v>15</v>
      </c>
      <c r="R73" s="99">
        <v>38</v>
      </c>
      <c r="S73" s="99">
        <v>33</v>
      </c>
      <c r="T73" s="99">
        <v>21</v>
      </c>
      <c r="U73" s="99" t="s">
        <v>609</v>
      </c>
      <c r="V73" s="99">
        <v>34</v>
      </c>
      <c r="W73" s="99">
        <v>40</v>
      </c>
      <c r="X73" s="99">
        <v>24</v>
      </c>
      <c r="Y73" s="99">
        <v>59</v>
      </c>
      <c r="Z73" s="99">
        <v>36</v>
      </c>
      <c r="AA73" s="99" t="s">
        <v>609</v>
      </c>
      <c r="AB73" s="99" t="s">
        <v>609</v>
      </c>
      <c r="AC73" s="99" t="s">
        <v>609</v>
      </c>
      <c r="AD73" s="98" t="s">
        <v>358</v>
      </c>
      <c r="AE73" s="100">
        <v>0.1412711967793095</v>
      </c>
      <c r="AF73" s="100">
        <v>0.06</v>
      </c>
      <c r="AG73" s="98">
        <v>487.9834085641088</v>
      </c>
      <c r="AH73" s="98">
        <v>280.59045992436256</v>
      </c>
      <c r="AI73" s="100">
        <v>0.02</v>
      </c>
      <c r="AJ73" s="100">
        <v>0.85</v>
      </c>
      <c r="AK73" s="100">
        <v>0.835651</v>
      </c>
      <c r="AL73" s="100">
        <v>0.794034</v>
      </c>
      <c r="AM73" s="100">
        <v>0.59268</v>
      </c>
      <c r="AN73" s="100">
        <v>0.619855</v>
      </c>
      <c r="AO73" s="98">
        <v>1866.5365377577161</v>
      </c>
      <c r="AP73" s="158">
        <v>1.0249617</v>
      </c>
      <c r="AQ73" s="100">
        <v>0.09803921568627451</v>
      </c>
      <c r="AR73" s="100">
        <v>0.39473684210526316</v>
      </c>
      <c r="AS73" s="98">
        <v>402.5863120653898</v>
      </c>
      <c r="AT73" s="98">
        <v>256.19128949615714</v>
      </c>
      <c r="AU73" s="98" t="s">
        <v>609</v>
      </c>
      <c r="AV73" s="98">
        <v>414.7858972794925</v>
      </c>
      <c r="AW73" s="98">
        <v>487.9834085641088</v>
      </c>
      <c r="AX73" s="98">
        <v>292.7900451384653</v>
      </c>
      <c r="AY73" s="98">
        <v>719.7755276320605</v>
      </c>
      <c r="AZ73" s="98">
        <v>439.18506770769795</v>
      </c>
      <c r="BA73" s="100" t="s">
        <v>609</v>
      </c>
      <c r="BB73" s="100" t="s">
        <v>609</v>
      </c>
      <c r="BC73" s="100" t="s">
        <v>609</v>
      </c>
      <c r="BD73" s="158">
        <v>0.8689878082</v>
      </c>
      <c r="BE73" s="158">
        <v>1.200848999</v>
      </c>
      <c r="BF73" s="162">
        <v>1020</v>
      </c>
      <c r="BG73" s="162">
        <v>791</v>
      </c>
      <c r="BH73" s="162">
        <v>2112</v>
      </c>
      <c r="BI73" s="162">
        <v>847</v>
      </c>
      <c r="BJ73" s="162">
        <v>413</v>
      </c>
      <c r="BK73" s="97"/>
      <c r="BL73" s="97"/>
      <c r="BM73" s="97"/>
      <c r="BN73" s="97"/>
    </row>
    <row r="74" spans="1:66" ht="12.75">
      <c r="A74" s="79" t="s">
        <v>553</v>
      </c>
      <c r="B74" s="79" t="s">
        <v>294</v>
      </c>
      <c r="C74" s="79" t="s">
        <v>226</v>
      </c>
      <c r="D74" s="99">
        <v>6483</v>
      </c>
      <c r="E74" s="99">
        <v>1241</v>
      </c>
      <c r="F74" s="99" t="s">
        <v>382</v>
      </c>
      <c r="G74" s="99">
        <v>40</v>
      </c>
      <c r="H74" s="99">
        <v>16</v>
      </c>
      <c r="I74" s="99">
        <v>179</v>
      </c>
      <c r="J74" s="99">
        <v>740</v>
      </c>
      <c r="K74" s="99">
        <v>104</v>
      </c>
      <c r="L74" s="99">
        <v>1322</v>
      </c>
      <c r="M74" s="99">
        <v>587</v>
      </c>
      <c r="N74" s="99">
        <v>316</v>
      </c>
      <c r="O74" s="99">
        <v>209</v>
      </c>
      <c r="P74" s="159">
        <v>209</v>
      </c>
      <c r="Q74" s="99">
        <v>20</v>
      </c>
      <c r="R74" s="99">
        <v>35</v>
      </c>
      <c r="S74" s="99">
        <v>55</v>
      </c>
      <c r="T74" s="99">
        <v>31</v>
      </c>
      <c r="U74" s="99" t="s">
        <v>609</v>
      </c>
      <c r="V74" s="99">
        <v>25</v>
      </c>
      <c r="W74" s="99">
        <v>47</v>
      </c>
      <c r="X74" s="99">
        <v>21</v>
      </c>
      <c r="Y74" s="99">
        <v>81</v>
      </c>
      <c r="Z74" s="99">
        <v>50</v>
      </c>
      <c r="AA74" s="99" t="s">
        <v>609</v>
      </c>
      <c r="AB74" s="99" t="s">
        <v>609</v>
      </c>
      <c r="AC74" s="99" t="s">
        <v>609</v>
      </c>
      <c r="AD74" s="98" t="s">
        <v>358</v>
      </c>
      <c r="AE74" s="100">
        <v>0.19142372358476015</v>
      </c>
      <c r="AF74" s="100">
        <v>0.06</v>
      </c>
      <c r="AG74" s="98">
        <v>616.9983032546661</v>
      </c>
      <c r="AH74" s="98">
        <v>246.79932130186643</v>
      </c>
      <c r="AI74" s="100">
        <v>0.027999999999999997</v>
      </c>
      <c r="AJ74" s="100">
        <v>0.748231</v>
      </c>
      <c r="AK74" s="100">
        <v>0.764706</v>
      </c>
      <c r="AL74" s="100">
        <v>0.791617</v>
      </c>
      <c r="AM74" s="100">
        <v>0.600819</v>
      </c>
      <c r="AN74" s="100">
        <v>0.635815</v>
      </c>
      <c r="AO74" s="98">
        <v>3223.81613450563</v>
      </c>
      <c r="AP74" s="158">
        <v>1.5184681699999998</v>
      </c>
      <c r="AQ74" s="100">
        <v>0.09569377990430622</v>
      </c>
      <c r="AR74" s="100">
        <v>0.5714285714285714</v>
      </c>
      <c r="AS74" s="98">
        <v>848.3726669751658</v>
      </c>
      <c r="AT74" s="98">
        <v>478.1736850223662</v>
      </c>
      <c r="AU74" s="98" t="s">
        <v>609</v>
      </c>
      <c r="AV74" s="98">
        <v>385.62393953416625</v>
      </c>
      <c r="AW74" s="98">
        <v>724.9730063242326</v>
      </c>
      <c r="AX74" s="98">
        <v>323.9241092086997</v>
      </c>
      <c r="AY74" s="98">
        <v>1249.4215640906987</v>
      </c>
      <c r="AZ74" s="98">
        <v>771.2478790683325</v>
      </c>
      <c r="BA74" s="100" t="s">
        <v>609</v>
      </c>
      <c r="BB74" s="100" t="s">
        <v>609</v>
      </c>
      <c r="BC74" s="100" t="s">
        <v>609</v>
      </c>
      <c r="BD74" s="158">
        <v>1.319569397</v>
      </c>
      <c r="BE74" s="158">
        <v>1.738882446</v>
      </c>
      <c r="BF74" s="162">
        <v>989</v>
      </c>
      <c r="BG74" s="162">
        <v>136</v>
      </c>
      <c r="BH74" s="162">
        <v>1670</v>
      </c>
      <c r="BI74" s="162">
        <v>977</v>
      </c>
      <c r="BJ74" s="162">
        <v>497</v>
      </c>
      <c r="BK74" s="97"/>
      <c r="BL74" s="97"/>
      <c r="BM74" s="97"/>
      <c r="BN74" s="97"/>
    </row>
    <row r="75" spans="1:66" ht="12.75">
      <c r="A75" s="79" t="s">
        <v>574</v>
      </c>
      <c r="B75" s="79" t="s">
        <v>322</v>
      </c>
      <c r="C75" s="79" t="s">
        <v>226</v>
      </c>
      <c r="D75" s="99">
        <v>8641</v>
      </c>
      <c r="E75" s="99">
        <v>1205</v>
      </c>
      <c r="F75" s="99" t="s">
        <v>382</v>
      </c>
      <c r="G75" s="99">
        <v>34</v>
      </c>
      <c r="H75" s="99">
        <v>18</v>
      </c>
      <c r="I75" s="99">
        <v>152</v>
      </c>
      <c r="J75" s="99">
        <v>740</v>
      </c>
      <c r="K75" s="99">
        <v>7</v>
      </c>
      <c r="L75" s="99">
        <v>1704</v>
      </c>
      <c r="M75" s="99">
        <v>557</v>
      </c>
      <c r="N75" s="99">
        <v>275</v>
      </c>
      <c r="O75" s="99">
        <v>118</v>
      </c>
      <c r="P75" s="159">
        <v>118</v>
      </c>
      <c r="Q75" s="99">
        <v>21</v>
      </c>
      <c r="R75" s="99">
        <v>31</v>
      </c>
      <c r="S75" s="99">
        <v>36</v>
      </c>
      <c r="T75" s="99">
        <v>9</v>
      </c>
      <c r="U75" s="99" t="s">
        <v>609</v>
      </c>
      <c r="V75" s="99">
        <v>22</v>
      </c>
      <c r="W75" s="99">
        <v>55</v>
      </c>
      <c r="X75" s="99">
        <v>37</v>
      </c>
      <c r="Y75" s="99">
        <v>106</v>
      </c>
      <c r="Z75" s="99">
        <v>25</v>
      </c>
      <c r="AA75" s="99" t="s">
        <v>609</v>
      </c>
      <c r="AB75" s="99" t="s">
        <v>609</v>
      </c>
      <c r="AC75" s="99" t="s">
        <v>609</v>
      </c>
      <c r="AD75" s="98" t="s">
        <v>358</v>
      </c>
      <c r="AE75" s="100">
        <v>0.13945145237819698</v>
      </c>
      <c r="AF75" s="100">
        <v>0.05</v>
      </c>
      <c r="AG75" s="98">
        <v>393.47297766462214</v>
      </c>
      <c r="AH75" s="98">
        <v>208.30922346950584</v>
      </c>
      <c r="AI75" s="100">
        <v>0.018000000000000002</v>
      </c>
      <c r="AJ75" s="100">
        <v>0.683919</v>
      </c>
      <c r="AK75" s="100">
        <v>0.7</v>
      </c>
      <c r="AL75" s="100">
        <v>0.781651</v>
      </c>
      <c r="AM75" s="100">
        <v>0.590042</v>
      </c>
      <c r="AN75" s="100">
        <v>0.593952</v>
      </c>
      <c r="AO75" s="98">
        <v>1365.5826871889828</v>
      </c>
      <c r="AP75" s="158">
        <v>0.7532854462</v>
      </c>
      <c r="AQ75" s="100">
        <v>0.17796610169491525</v>
      </c>
      <c r="AR75" s="100">
        <v>0.6774193548387096</v>
      </c>
      <c r="AS75" s="98">
        <v>416.6184469390117</v>
      </c>
      <c r="AT75" s="98">
        <v>104.15461173475292</v>
      </c>
      <c r="AU75" s="98" t="s">
        <v>609</v>
      </c>
      <c r="AV75" s="98">
        <v>254.60016201828492</v>
      </c>
      <c r="AW75" s="98">
        <v>636.5004050457123</v>
      </c>
      <c r="AX75" s="98">
        <v>428.1911815762065</v>
      </c>
      <c r="AY75" s="98">
        <v>1226.7098715426455</v>
      </c>
      <c r="AZ75" s="98">
        <v>289.31836592986923</v>
      </c>
      <c r="BA75" s="100" t="s">
        <v>609</v>
      </c>
      <c r="BB75" s="100" t="s">
        <v>609</v>
      </c>
      <c r="BC75" s="100" t="s">
        <v>609</v>
      </c>
      <c r="BD75" s="158">
        <v>0.6235142517</v>
      </c>
      <c r="BE75" s="158">
        <v>0.9021009827</v>
      </c>
      <c r="BF75" s="162">
        <v>1082</v>
      </c>
      <c r="BG75" s="162">
        <v>10</v>
      </c>
      <c r="BH75" s="162">
        <v>2180</v>
      </c>
      <c r="BI75" s="162">
        <v>944</v>
      </c>
      <c r="BJ75" s="162">
        <v>463</v>
      </c>
      <c r="BK75" s="97"/>
      <c r="BL75" s="97"/>
      <c r="BM75" s="97"/>
      <c r="BN75" s="97"/>
    </row>
    <row r="76" spans="1:66" ht="12.75">
      <c r="A76" s="79" t="s">
        <v>576</v>
      </c>
      <c r="B76" s="79" t="s">
        <v>324</v>
      </c>
      <c r="C76" s="79" t="s">
        <v>226</v>
      </c>
      <c r="D76" s="99">
        <v>15525</v>
      </c>
      <c r="E76" s="99">
        <v>2351</v>
      </c>
      <c r="F76" s="99" t="s">
        <v>381</v>
      </c>
      <c r="G76" s="99">
        <v>60</v>
      </c>
      <c r="H76" s="99">
        <v>25</v>
      </c>
      <c r="I76" s="99">
        <v>280</v>
      </c>
      <c r="J76" s="99">
        <v>1358</v>
      </c>
      <c r="K76" s="99">
        <v>1006</v>
      </c>
      <c r="L76" s="99">
        <v>2994</v>
      </c>
      <c r="M76" s="99">
        <v>950</v>
      </c>
      <c r="N76" s="99">
        <v>522</v>
      </c>
      <c r="O76" s="99">
        <v>344</v>
      </c>
      <c r="P76" s="159">
        <v>344</v>
      </c>
      <c r="Q76" s="99">
        <v>29</v>
      </c>
      <c r="R76" s="99">
        <v>69</v>
      </c>
      <c r="S76" s="99">
        <v>108</v>
      </c>
      <c r="T76" s="99">
        <v>51</v>
      </c>
      <c r="U76" s="99">
        <v>12</v>
      </c>
      <c r="V76" s="99">
        <v>31</v>
      </c>
      <c r="W76" s="99">
        <v>44</v>
      </c>
      <c r="X76" s="99">
        <v>120</v>
      </c>
      <c r="Y76" s="99">
        <v>149</v>
      </c>
      <c r="Z76" s="99">
        <v>71</v>
      </c>
      <c r="AA76" s="99" t="s">
        <v>609</v>
      </c>
      <c r="AB76" s="99" t="s">
        <v>609</v>
      </c>
      <c r="AC76" s="99" t="s">
        <v>609</v>
      </c>
      <c r="AD76" s="98" t="s">
        <v>358</v>
      </c>
      <c r="AE76" s="100">
        <v>0.1514331723027375</v>
      </c>
      <c r="AF76" s="100">
        <v>0.13</v>
      </c>
      <c r="AG76" s="98">
        <v>386.47342995169083</v>
      </c>
      <c r="AH76" s="98">
        <v>161.0305958132045</v>
      </c>
      <c r="AI76" s="100">
        <v>0.018000000000000002</v>
      </c>
      <c r="AJ76" s="100">
        <v>0.742077</v>
      </c>
      <c r="AK76" s="100">
        <v>0.858362</v>
      </c>
      <c r="AL76" s="100">
        <v>0.773244</v>
      </c>
      <c r="AM76" s="100">
        <v>0.565813</v>
      </c>
      <c r="AN76" s="100">
        <v>0.584546</v>
      </c>
      <c r="AO76" s="98">
        <v>2215.780998389694</v>
      </c>
      <c r="AP76" s="158">
        <v>1.229890594</v>
      </c>
      <c r="AQ76" s="100">
        <v>0.08430232558139535</v>
      </c>
      <c r="AR76" s="100">
        <v>0.42028985507246375</v>
      </c>
      <c r="AS76" s="98">
        <v>695.6521739130435</v>
      </c>
      <c r="AT76" s="98">
        <v>328.5024154589372</v>
      </c>
      <c r="AU76" s="98">
        <v>77.29468599033817</v>
      </c>
      <c r="AV76" s="98">
        <v>199.6779388083736</v>
      </c>
      <c r="AW76" s="98">
        <v>283.41384863123994</v>
      </c>
      <c r="AX76" s="98">
        <v>772.9468599033817</v>
      </c>
      <c r="AY76" s="98">
        <v>959.7423510466989</v>
      </c>
      <c r="AZ76" s="98">
        <v>457.3268921095008</v>
      </c>
      <c r="BA76" s="101" t="s">
        <v>609</v>
      </c>
      <c r="BB76" s="101" t="s">
        <v>609</v>
      </c>
      <c r="BC76" s="101" t="s">
        <v>609</v>
      </c>
      <c r="BD76" s="158">
        <v>1.103341675</v>
      </c>
      <c r="BE76" s="158">
        <v>1.366974792</v>
      </c>
      <c r="BF76" s="162">
        <v>1830</v>
      </c>
      <c r="BG76" s="162">
        <v>1172</v>
      </c>
      <c r="BH76" s="162">
        <v>3872</v>
      </c>
      <c r="BI76" s="162">
        <v>1679</v>
      </c>
      <c r="BJ76" s="162">
        <v>893</v>
      </c>
      <c r="BK76" s="97"/>
      <c r="BL76" s="97"/>
      <c r="BM76" s="97"/>
      <c r="BN76" s="97"/>
    </row>
    <row r="77" spans="1:66" ht="12.75">
      <c r="A77" s="79" t="s">
        <v>568</v>
      </c>
      <c r="B77" s="79" t="s">
        <v>315</v>
      </c>
      <c r="C77" s="79" t="s">
        <v>226</v>
      </c>
      <c r="D77" s="99">
        <v>10029</v>
      </c>
      <c r="E77" s="99">
        <v>1313</v>
      </c>
      <c r="F77" s="99" t="s">
        <v>378</v>
      </c>
      <c r="G77" s="99">
        <v>70</v>
      </c>
      <c r="H77" s="99">
        <v>24</v>
      </c>
      <c r="I77" s="99">
        <v>155</v>
      </c>
      <c r="J77" s="99">
        <v>952</v>
      </c>
      <c r="K77" s="99" t="s">
        <v>609</v>
      </c>
      <c r="L77" s="99">
        <v>1933</v>
      </c>
      <c r="M77" s="99">
        <v>573</v>
      </c>
      <c r="N77" s="99">
        <v>287</v>
      </c>
      <c r="O77" s="99">
        <v>178</v>
      </c>
      <c r="P77" s="159">
        <v>178</v>
      </c>
      <c r="Q77" s="99">
        <v>19</v>
      </c>
      <c r="R77" s="99">
        <v>44</v>
      </c>
      <c r="S77" s="99">
        <v>36</v>
      </c>
      <c r="T77" s="99">
        <v>32</v>
      </c>
      <c r="U77" s="99" t="s">
        <v>609</v>
      </c>
      <c r="V77" s="99">
        <v>37</v>
      </c>
      <c r="W77" s="99">
        <v>53</v>
      </c>
      <c r="X77" s="99">
        <v>56</v>
      </c>
      <c r="Y77" s="99">
        <v>100</v>
      </c>
      <c r="Z77" s="99">
        <v>58</v>
      </c>
      <c r="AA77" s="99" t="s">
        <v>609</v>
      </c>
      <c r="AB77" s="99" t="s">
        <v>609</v>
      </c>
      <c r="AC77" s="99" t="s">
        <v>609</v>
      </c>
      <c r="AD77" s="98" t="s">
        <v>358</v>
      </c>
      <c r="AE77" s="100">
        <v>0.13092033103998404</v>
      </c>
      <c r="AF77" s="100">
        <v>0.19</v>
      </c>
      <c r="AG77" s="98">
        <v>697.9758699770665</v>
      </c>
      <c r="AH77" s="98">
        <v>239.30601256356567</v>
      </c>
      <c r="AI77" s="100">
        <v>0.015</v>
      </c>
      <c r="AJ77" s="100">
        <v>0.732871</v>
      </c>
      <c r="AK77" s="100" t="s">
        <v>609</v>
      </c>
      <c r="AL77" s="100">
        <v>0.774129</v>
      </c>
      <c r="AM77" s="100">
        <v>0.502632</v>
      </c>
      <c r="AN77" s="100">
        <v>0.523723</v>
      </c>
      <c r="AO77" s="98">
        <v>1774.852926513112</v>
      </c>
      <c r="AP77" s="158">
        <v>1.03735817</v>
      </c>
      <c r="AQ77" s="100">
        <v>0.10674157303370786</v>
      </c>
      <c r="AR77" s="100">
        <v>0.4318181818181818</v>
      </c>
      <c r="AS77" s="98">
        <v>358.9590188453485</v>
      </c>
      <c r="AT77" s="98">
        <v>319.07468341808755</v>
      </c>
      <c r="AU77" s="98" t="s">
        <v>609</v>
      </c>
      <c r="AV77" s="98">
        <v>368.9301027021637</v>
      </c>
      <c r="AW77" s="98">
        <v>528.4674444112075</v>
      </c>
      <c r="AX77" s="98">
        <v>558.3806959816532</v>
      </c>
      <c r="AY77" s="98">
        <v>997.1083856815236</v>
      </c>
      <c r="AZ77" s="98">
        <v>578.3228636952837</v>
      </c>
      <c r="BA77" s="100" t="s">
        <v>609</v>
      </c>
      <c r="BB77" s="100" t="s">
        <v>609</v>
      </c>
      <c r="BC77" s="100" t="s">
        <v>609</v>
      </c>
      <c r="BD77" s="158">
        <v>0.8905571747000001</v>
      </c>
      <c r="BE77" s="158">
        <v>1.20144989</v>
      </c>
      <c r="BF77" s="162">
        <v>1299</v>
      </c>
      <c r="BG77" s="162" t="s">
        <v>609</v>
      </c>
      <c r="BH77" s="162">
        <v>2497</v>
      </c>
      <c r="BI77" s="162">
        <v>1140</v>
      </c>
      <c r="BJ77" s="162">
        <v>548</v>
      </c>
      <c r="BK77" s="97"/>
      <c r="BL77" s="97"/>
      <c r="BM77" s="97"/>
      <c r="BN77" s="97"/>
    </row>
    <row r="78" spans="1:66" ht="12.75">
      <c r="A78" s="79" t="s">
        <v>579</v>
      </c>
      <c r="B78" s="79" t="s">
        <v>327</v>
      </c>
      <c r="C78" s="79" t="s">
        <v>226</v>
      </c>
      <c r="D78" s="99">
        <v>5577</v>
      </c>
      <c r="E78" s="99">
        <v>767</v>
      </c>
      <c r="F78" s="99" t="s">
        <v>382</v>
      </c>
      <c r="G78" s="99">
        <v>21</v>
      </c>
      <c r="H78" s="99">
        <v>12</v>
      </c>
      <c r="I78" s="99">
        <v>69</v>
      </c>
      <c r="J78" s="99">
        <v>477</v>
      </c>
      <c r="K78" s="99" t="s">
        <v>609</v>
      </c>
      <c r="L78" s="99">
        <v>1167</v>
      </c>
      <c r="M78" s="99">
        <v>306</v>
      </c>
      <c r="N78" s="99">
        <v>145</v>
      </c>
      <c r="O78" s="99">
        <v>90</v>
      </c>
      <c r="P78" s="159">
        <v>90</v>
      </c>
      <c r="Q78" s="99">
        <v>13</v>
      </c>
      <c r="R78" s="99">
        <v>22</v>
      </c>
      <c r="S78" s="99">
        <v>18</v>
      </c>
      <c r="T78" s="99">
        <v>9</v>
      </c>
      <c r="U78" s="99" t="s">
        <v>609</v>
      </c>
      <c r="V78" s="99">
        <v>19</v>
      </c>
      <c r="W78" s="99">
        <v>15</v>
      </c>
      <c r="X78" s="99">
        <v>20</v>
      </c>
      <c r="Y78" s="99">
        <v>50</v>
      </c>
      <c r="Z78" s="99">
        <v>22</v>
      </c>
      <c r="AA78" s="99" t="s">
        <v>609</v>
      </c>
      <c r="AB78" s="99" t="s">
        <v>609</v>
      </c>
      <c r="AC78" s="99" t="s">
        <v>609</v>
      </c>
      <c r="AD78" s="98" t="s">
        <v>358</v>
      </c>
      <c r="AE78" s="100">
        <v>0.13752913752913754</v>
      </c>
      <c r="AF78" s="100">
        <v>0.07</v>
      </c>
      <c r="AG78" s="98">
        <v>376.54653039268425</v>
      </c>
      <c r="AH78" s="98">
        <v>215.16944593867672</v>
      </c>
      <c r="AI78" s="100">
        <v>0.012</v>
      </c>
      <c r="AJ78" s="100">
        <v>0.836842</v>
      </c>
      <c r="AK78" s="100" t="s">
        <v>609</v>
      </c>
      <c r="AL78" s="100">
        <v>0.83596</v>
      </c>
      <c r="AM78" s="100">
        <v>0.594175</v>
      </c>
      <c r="AN78" s="100">
        <v>0.591837</v>
      </c>
      <c r="AO78" s="98">
        <v>1613.7708445400754</v>
      </c>
      <c r="AP78" s="158">
        <v>0.9376607513</v>
      </c>
      <c r="AQ78" s="100">
        <v>0.14444444444444443</v>
      </c>
      <c r="AR78" s="100">
        <v>0.5909090909090909</v>
      </c>
      <c r="AS78" s="98">
        <v>322.75416890801506</v>
      </c>
      <c r="AT78" s="98">
        <v>161.37708445400753</v>
      </c>
      <c r="AU78" s="98" t="s">
        <v>609</v>
      </c>
      <c r="AV78" s="98">
        <v>340.68495606957146</v>
      </c>
      <c r="AW78" s="98">
        <v>268.9618074233459</v>
      </c>
      <c r="AX78" s="98">
        <v>358.61574323112785</v>
      </c>
      <c r="AY78" s="98">
        <v>896.5393580778197</v>
      </c>
      <c r="AZ78" s="98">
        <v>394.47731755424064</v>
      </c>
      <c r="BA78" s="100" t="s">
        <v>609</v>
      </c>
      <c r="BB78" s="100" t="s">
        <v>609</v>
      </c>
      <c r="BC78" s="100" t="s">
        <v>609</v>
      </c>
      <c r="BD78" s="158">
        <v>0.7539900208</v>
      </c>
      <c r="BE78" s="158">
        <v>1.15254425</v>
      </c>
      <c r="BF78" s="162">
        <v>570</v>
      </c>
      <c r="BG78" s="162" t="s">
        <v>609</v>
      </c>
      <c r="BH78" s="162">
        <v>1396</v>
      </c>
      <c r="BI78" s="162">
        <v>515</v>
      </c>
      <c r="BJ78" s="162">
        <v>245</v>
      </c>
      <c r="BK78" s="97"/>
      <c r="BL78" s="97"/>
      <c r="BM78" s="97"/>
      <c r="BN78" s="97"/>
    </row>
    <row r="79" spans="1:66" ht="12.75">
      <c r="A79" s="79" t="s">
        <v>464</v>
      </c>
      <c r="B79" s="94" t="s">
        <v>226</v>
      </c>
      <c r="C79" s="94" t="s">
        <v>7</v>
      </c>
      <c r="D79" s="99">
        <v>648340</v>
      </c>
      <c r="E79" s="99">
        <v>97990</v>
      </c>
      <c r="F79" s="99">
        <v>74499.49999999999</v>
      </c>
      <c r="G79" s="99">
        <v>2769</v>
      </c>
      <c r="H79" s="99">
        <v>1446</v>
      </c>
      <c r="I79" s="99">
        <v>10518</v>
      </c>
      <c r="J79" s="99">
        <v>59228</v>
      </c>
      <c r="K79" s="99">
        <v>20435</v>
      </c>
      <c r="L79" s="99">
        <v>121525</v>
      </c>
      <c r="M79" s="99">
        <v>40894</v>
      </c>
      <c r="N79" s="99">
        <v>21309</v>
      </c>
      <c r="O79" s="99">
        <v>11622</v>
      </c>
      <c r="P79" s="99">
        <v>11622</v>
      </c>
      <c r="Q79" s="99">
        <v>1189</v>
      </c>
      <c r="R79" s="99">
        <v>2654</v>
      </c>
      <c r="S79" s="99">
        <v>2798</v>
      </c>
      <c r="T79" s="99">
        <v>1854</v>
      </c>
      <c r="U79" s="99">
        <v>388</v>
      </c>
      <c r="V79" s="99">
        <v>1748</v>
      </c>
      <c r="W79" s="99">
        <v>2863</v>
      </c>
      <c r="X79" s="99">
        <v>3352</v>
      </c>
      <c r="Y79" s="99">
        <v>5304</v>
      </c>
      <c r="Z79" s="99">
        <v>3108</v>
      </c>
      <c r="AA79" s="99">
        <v>0</v>
      </c>
      <c r="AB79" s="99">
        <v>0</v>
      </c>
      <c r="AC79" s="99">
        <v>0</v>
      </c>
      <c r="AD79" s="98">
        <v>0</v>
      </c>
      <c r="AE79" s="101">
        <v>0.15113983403769626</v>
      </c>
      <c r="AF79" s="101">
        <v>0.11490807292469998</v>
      </c>
      <c r="AG79" s="98">
        <v>427.09072400283804</v>
      </c>
      <c r="AH79" s="98">
        <v>223.03112564395224</v>
      </c>
      <c r="AI79" s="101">
        <v>0.01622296942962026</v>
      </c>
      <c r="AJ79" s="101">
        <v>0.7673611111111112</v>
      </c>
      <c r="AK79" s="101">
        <v>0.7961895114158809</v>
      </c>
      <c r="AL79" s="101">
        <v>0.7659943271352033</v>
      </c>
      <c r="AM79" s="101">
        <v>0.5719200592982112</v>
      </c>
      <c r="AN79" s="101">
        <v>0.5871380155952939</v>
      </c>
      <c r="AO79" s="98">
        <v>1792.5779683499397</v>
      </c>
      <c r="AP79" s="98">
        <v>0</v>
      </c>
      <c r="AQ79" s="101">
        <v>0.10230597143348821</v>
      </c>
      <c r="AR79" s="101">
        <v>0.44800301431801054</v>
      </c>
      <c r="AS79" s="98">
        <v>431.56368572045534</v>
      </c>
      <c r="AT79" s="98">
        <v>285.9610698090508</v>
      </c>
      <c r="AU79" s="98">
        <v>59.8451429805349</v>
      </c>
      <c r="AV79" s="98">
        <v>269.6116235308634</v>
      </c>
      <c r="AW79" s="98">
        <v>441.5892895702872</v>
      </c>
      <c r="AX79" s="98">
        <v>517.0126785328686</v>
      </c>
      <c r="AY79" s="98">
        <v>818.0892741462812</v>
      </c>
      <c r="AZ79" s="98">
        <v>479.37810408119196</v>
      </c>
      <c r="BA79" s="101">
        <v>0</v>
      </c>
      <c r="BB79" s="101">
        <v>0</v>
      </c>
      <c r="BC79" s="101">
        <v>0</v>
      </c>
      <c r="BD79" s="98">
        <v>0</v>
      </c>
      <c r="BE79" s="98">
        <v>0</v>
      </c>
      <c r="BF79" s="99">
        <v>77184</v>
      </c>
      <c r="BG79" s="99">
        <v>25666</v>
      </c>
      <c r="BH79" s="99">
        <v>158650</v>
      </c>
      <c r="BI79" s="99">
        <v>71503</v>
      </c>
      <c r="BJ79" s="99">
        <v>36293</v>
      </c>
      <c r="BK79" s="97"/>
      <c r="BL79" s="97"/>
      <c r="BM79" s="97"/>
      <c r="BN79" s="97"/>
    </row>
    <row r="80" spans="1:66" ht="12.75">
      <c r="A80" s="79" t="s">
        <v>24</v>
      </c>
      <c r="B80" s="94" t="s">
        <v>7</v>
      </c>
      <c r="C80" s="94" t="s">
        <v>7</v>
      </c>
      <c r="D80" s="99">
        <v>54615830</v>
      </c>
      <c r="E80" s="99">
        <v>8737890</v>
      </c>
      <c r="F80" s="99">
        <v>8198344.169999988</v>
      </c>
      <c r="G80" s="99">
        <v>243379</v>
      </c>
      <c r="H80" s="99">
        <v>127868</v>
      </c>
      <c r="I80" s="99">
        <v>870616</v>
      </c>
      <c r="J80" s="99">
        <v>4592627</v>
      </c>
      <c r="K80" s="99">
        <v>1679592</v>
      </c>
      <c r="L80" s="99">
        <v>10150944</v>
      </c>
      <c r="M80" s="99">
        <v>2959539</v>
      </c>
      <c r="N80" s="99">
        <v>1629320</v>
      </c>
      <c r="O80" s="99">
        <v>989730</v>
      </c>
      <c r="P80" s="99">
        <v>989730</v>
      </c>
      <c r="Q80" s="99">
        <v>108072</v>
      </c>
      <c r="R80" s="99">
        <v>238330</v>
      </c>
      <c r="S80" s="99">
        <v>206300</v>
      </c>
      <c r="T80" s="99">
        <v>154264</v>
      </c>
      <c r="U80" s="99">
        <v>38486</v>
      </c>
      <c r="V80" s="99">
        <v>176535</v>
      </c>
      <c r="W80" s="99">
        <v>307276</v>
      </c>
      <c r="X80" s="99">
        <v>221506</v>
      </c>
      <c r="Y80" s="99">
        <v>578574</v>
      </c>
      <c r="Z80" s="99">
        <v>318377</v>
      </c>
      <c r="AA80" s="99">
        <v>0</v>
      </c>
      <c r="AB80" s="99">
        <v>0</v>
      </c>
      <c r="AC80" s="99">
        <v>0</v>
      </c>
      <c r="AD80" s="98">
        <v>0</v>
      </c>
      <c r="AE80" s="101">
        <v>0.1599882305185145</v>
      </c>
      <c r="AF80" s="101">
        <v>0.15010930292554353</v>
      </c>
      <c r="AG80" s="98">
        <v>445.6198871279627</v>
      </c>
      <c r="AH80" s="98">
        <v>234.12259778895606</v>
      </c>
      <c r="AI80" s="101">
        <v>0.015940726342527432</v>
      </c>
      <c r="AJ80" s="101">
        <v>0.7248631360507991</v>
      </c>
      <c r="AK80" s="101">
        <v>0.7467412166569077</v>
      </c>
      <c r="AL80" s="101">
        <v>0.7559681673907895</v>
      </c>
      <c r="AM80" s="101">
        <v>0.5147293797466616</v>
      </c>
      <c r="AN80" s="101">
        <v>0.5752927626212945</v>
      </c>
      <c r="AO80" s="98">
        <v>1812.1669120472948</v>
      </c>
      <c r="AP80" s="98">
        <v>1</v>
      </c>
      <c r="AQ80" s="101">
        <v>0.10919341638628717</v>
      </c>
      <c r="AR80" s="101">
        <v>0.4534552930810221</v>
      </c>
      <c r="AS80" s="98">
        <v>377.7293140102421</v>
      </c>
      <c r="AT80" s="98">
        <v>282.45290788403287</v>
      </c>
      <c r="AU80" s="98">
        <v>70.46674929228394</v>
      </c>
      <c r="AV80" s="98">
        <v>323.23046266988894</v>
      </c>
      <c r="AW80" s="98">
        <v>562.6134400960308</v>
      </c>
      <c r="AX80" s="98">
        <v>405.57105879375996</v>
      </c>
      <c r="AY80" s="98">
        <v>1059.3522061277838</v>
      </c>
      <c r="AZ80" s="98">
        <v>582.9390489900089</v>
      </c>
      <c r="BA80" s="101">
        <v>0</v>
      </c>
      <c r="BB80" s="101">
        <v>0</v>
      </c>
      <c r="BC80" s="101">
        <v>0</v>
      </c>
      <c r="BD80" s="98">
        <v>0</v>
      </c>
      <c r="BE80" s="98">
        <v>0</v>
      </c>
      <c r="BF80" s="99">
        <v>6335854</v>
      </c>
      <c r="BG80" s="99">
        <v>2249229</v>
      </c>
      <c r="BH80" s="99">
        <v>13427740</v>
      </c>
      <c r="BI80" s="99">
        <v>5749699</v>
      </c>
      <c r="BJ80" s="99">
        <v>2832158</v>
      </c>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363</v>
      </c>
      <c r="O4" s="75" t="s">
        <v>362</v>
      </c>
      <c r="P4" s="75" t="s">
        <v>490</v>
      </c>
      <c r="Q4" s="75" t="s">
        <v>491</v>
      </c>
      <c r="R4" s="75" t="s">
        <v>492</v>
      </c>
      <c r="S4" s="75" t="s">
        <v>493</v>
      </c>
      <c r="T4" s="39" t="s">
        <v>278</v>
      </c>
      <c r="U4" s="40" t="s">
        <v>279</v>
      </c>
      <c r="V4" s="41" t="s">
        <v>7</v>
      </c>
      <c r="W4" s="24" t="s">
        <v>2</v>
      </c>
      <c r="X4" s="24" t="s">
        <v>3</v>
      </c>
      <c r="Y4" s="75" t="s">
        <v>629</v>
      </c>
      <c r="Z4" s="75" t="s">
        <v>628</v>
      </c>
      <c r="AA4" s="26" t="s">
        <v>280</v>
      </c>
      <c r="AB4" s="24" t="s">
        <v>5</v>
      </c>
      <c r="AC4" s="75" t="s">
        <v>35</v>
      </c>
      <c r="AD4" s="24" t="s">
        <v>6</v>
      </c>
      <c r="AE4" s="24" t="s">
        <v>281</v>
      </c>
      <c r="AF4" s="24" t="s">
        <v>16</v>
      </c>
      <c r="AG4" s="24" t="s">
        <v>15</v>
      </c>
      <c r="AH4" s="24" t="s">
        <v>14</v>
      </c>
      <c r="AI4" s="25" t="s">
        <v>30</v>
      </c>
      <c r="AJ4" s="47" t="s">
        <v>10</v>
      </c>
      <c r="AK4" s="26" t="s">
        <v>21</v>
      </c>
      <c r="AL4" s="25" t="s">
        <v>22</v>
      </c>
      <c r="AQ4" s="102" t="s">
        <v>405</v>
      </c>
      <c r="AR4" s="102" t="s">
        <v>407</v>
      </c>
      <c r="AS4" s="102" t="s">
        <v>406</v>
      </c>
      <c r="AY4" s="102" t="s">
        <v>487</v>
      </c>
      <c r="AZ4" s="102" t="s">
        <v>488</v>
      </c>
      <c r="BA4" s="102" t="s">
        <v>489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428</v>
      </c>
      <c r="BA5" s="103" t="s">
        <v>358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413</v>
      </c>
      <c r="BA6" s="103" t="s">
        <v>358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2600</v>
      </c>
      <c r="E7" s="38">
        <f>IF(LEFT(VLOOKUP($B7,'Indicator chart'!$D$1:$J$36,5,FALSE),1)=" "," ",VLOOKUP($B7,'Indicator chart'!$D$1:$J$36,5,FALSE))</f>
        <v>0.13550841715745035</v>
      </c>
      <c r="F7" s="38">
        <f>IF(LEFT(VLOOKUP($B7,'Indicator chart'!$D$1:$J$36,6,FALSE),1)=" "," ",VLOOKUP($B7,'Indicator chart'!$D$1:$J$36,6,FALSE))</f>
        <v>0.1307382980854246</v>
      </c>
      <c r="G7" s="38">
        <f>IF(LEFT(VLOOKUP($B7,'Indicator chart'!$D$1:$J$36,7,FALSE),1)=" "," ",VLOOKUP($B7,'Indicator chart'!$D$1:$J$36,7,FALSE))</f>
        <v>0.140424463218384</v>
      </c>
      <c r="H7" s="50">
        <f aca="true" t="shared" si="0" ref="H7:H31">IF(LEFT(F7,1)=" ",4,IF(AND(ABS(N7-E7)&gt;SQRT((E7-G7)^2+(N7-R7)^2),E7&lt;N7),1,IF(AND(ABS(N7-E7)&gt;SQRT((E7-F7)^2+(N7-S7)^2),E7&gt;N7),3,2)))</f>
        <v>1</v>
      </c>
      <c r="I7" s="38">
        <v>0.017847079783678055</v>
      </c>
      <c r="J7" s="38">
        <v>0.13321436941623688</v>
      </c>
      <c r="K7" s="38">
        <v>0.15181347727775574</v>
      </c>
      <c r="L7" s="38">
        <v>0.16945230960845947</v>
      </c>
      <c r="M7" s="38">
        <v>0.22253748774528503</v>
      </c>
      <c r="N7" s="80">
        <f>VLOOKUP('Hide - Control'!B$3,'All practice data'!A:CA,A7+29,FALSE)</f>
        <v>0.15113983403769626</v>
      </c>
      <c r="O7" s="80">
        <f>VLOOKUP('Hide - Control'!C$3,'All practice data'!A:CA,A7+29,FALSE)</f>
        <v>0.1599882305185145</v>
      </c>
      <c r="P7" s="38">
        <f>VLOOKUP('Hide - Control'!$B$4,'All practice data'!B:BC,A7+2,FALSE)</f>
        <v>97990</v>
      </c>
      <c r="Q7" s="38">
        <f>VLOOKUP('Hide - Control'!$B$4,'All practice data'!B:BC,3,FALSE)</f>
        <v>648340</v>
      </c>
      <c r="R7" s="38">
        <f>+((2*P7+1.96^2-1.96*SQRT(1.96^2+4*P7*(1-P7/Q7)))/(2*(Q7+1.96^2)))</f>
        <v>0.15027001022266687</v>
      </c>
      <c r="S7" s="38">
        <f>+((2*P7+1.96^2+1.96*SQRT(1.96^2+4*P7*(1-P7/Q7)))/(2*(Q7+1.96^2)))</f>
        <v>0.15201379202082466</v>
      </c>
      <c r="T7" s="53">
        <f>IF($C7=1,M7,I7)</f>
        <v>0.22253748774528503</v>
      </c>
      <c r="U7" s="51">
        <f aca="true" t="shared" si="1" ref="U7:U15">IF($C7=1,I7,M7)</f>
        <v>0.017847079783678055</v>
      </c>
      <c r="V7" s="7">
        <v>1</v>
      </c>
      <c r="W7" s="27">
        <f aca="true" t="shared" si="2" ref="W7:W31">IF((K7-I7)&gt;(M7-K7),I7,(K7-(M7-K7)))</f>
        <v>0.017847079783678055</v>
      </c>
      <c r="X7" s="27">
        <f aca="true" t="shared" si="3" ref="X7:X31">IF(W7=I7,K7+(K7-I7),M7)</f>
        <v>0.2857798747718334</v>
      </c>
      <c r="Y7" s="27">
        <f aca="true" t="shared" si="4" ref="Y7:Y31">IF(C7=1,W7,X7)</f>
        <v>0.017847079783678055</v>
      </c>
      <c r="Z7" s="27">
        <f aca="true" t="shared" si="5" ref="Z7:Z31">IF(C7=1,X7,W7)</f>
        <v>0.2857798747718334</v>
      </c>
      <c r="AA7" s="32">
        <f aca="true" t="shared" si="6" ref="AA7:AA31">IF(ISERROR(IF(C7=1,(I7-$Y7)/($Z7-$Y7),(U7-$Y7)/($Z7-$Y7))),"",IF(C7=1,(I7-$Y7)/($Z7-$Y7),(U7-$Y7)/($Z7-$Y7)))</f>
        <v>0</v>
      </c>
      <c r="AB7" s="33">
        <f aca="true" t="shared" si="7" ref="AB7:AB31">IF(ISERROR(IF(C7=1,(J7-$Y7)/($Z7-$Y7),(L7-$Y7)/($Z7-$Y7))),"",IF(C7=1,(J7-$Y7)/($Z7-$Y7),(L7-$Y7)/($Z7-$Y7)))</f>
        <v>0.43058293643246964</v>
      </c>
      <c r="AC7" s="33">
        <v>0.5</v>
      </c>
      <c r="AD7" s="33">
        <f aca="true" t="shared" si="8" ref="AD7:AD31">IF(ISERROR(IF(C7=1,(L7-$Y7)/($Z7-$Y7),(J7-$Y7)/($Z7-$Y7))),"",IF(C7=1,(L7-$Y7)/($Z7-$Y7),(J7-$Y7)/($Z7-$Y7)))</f>
        <v>0.5658330471694721</v>
      </c>
      <c r="AE7" s="33">
        <f aca="true" t="shared" si="9" ref="AE7:AE31">IF(ISERROR(IF(C7=1,(M7-$Y7)/($Z7-$Y7),(I7-$Y7)/($Z7-$Y7))),"",IF(C7=1,(M7-$Y7)/($Z7-$Y7),(I7-$Y7)/($Z7-$Y7)))</f>
        <v>0.7639617538071658</v>
      </c>
      <c r="AF7" s="33">
        <f aca="true" t="shared" si="10" ref="AF7:AF30">IF(E7=" ",-999,IF(H7=4,(E7-$Y7)/($Z7-$Y7),-999))</f>
        <v>-999</v>
      </c>
      <c r="AG7" s="33">
        <f aca="true" t="shared" si="11" ref="AG7:AG31">IF(E7=" ",-999,IF(H7=2,(E7-$Y7)/($Z7-$Y7),-999))</f>
        <v>-999</v>
      </c>
      <c r="AH7" s="33">
        <f aca="true" t="shared" si="12" ref="AH7:AH31">IF(E7=" ",-999,IF(MAX(AK7:AL7)&gt;-999,MAX(AK7:AL7),-999))</f>
        <v>0.439144963120225</v>
      </c>
      <c r="AI7" s="34">
        <f aca="true" t="shared" si="13" ref="AI7:AI31">IF(ISERROR((O7-$Y7)/($Z7-$Y7)),-999,(O7-$Y7)/($Z7-$Y7))</f>
        <v>0.5305104615548094</v>
      </c>
      <c r="AJ7" s="4">
        <v>2.7020512924389086</v>
      </c>
      <c r="AK7" s="32">
        <f aca="true" t="shared" si="14" ref="AK7:AK31">IF(H7=1,(E7-$Y7)/($Z7-$Y7),-999)</f>
        <v>0.439144963120225</v>
      </c>
      <c r="AL7" s="34">
        <f aca="true" t="shared" si="15" ref="AL7:AL31">IF(H7=3,(E7-$Y7)/($Z7-$Y7),-999)</f>
        <v>-999</v>
      </c>
      <c r="AQ7" s="103">
        <v>2</v>
      </c>
      <c r="AR7" s="103">
        <v>0.2422</v>
      </c>
      <c r="AS7" s="103">
        <v>7.2247</v>
      </c>
      <c r="AY7" s="103" t="s">
        <v>68</v>
      </c>
      <c r="AZ7" s="103" t="s">
        <v>412</v>
      </c>
      <c r="BA7" s="103" t="s">
        <v>358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0.10565047431646012</v>
      </c>
      <c r="G8" s="38">
        <f>IF(LEFT(VLOOKUP($B8,'Indicator chart'!$D$1:$J$36,7,FALSE),1)=" "," ",VLOOKUP($B8,'Indicator chart'!$D$1:$J$36,7,FALSE))</f>
        <v>0.11450566516207114</v>
      </c>
      <c r="H8" s="50">
        <f t="shared" si="0"/>
        <v>1</v>
      </c>
      <c r="I8" s="38">
        <v>0.05000000074505806</v>
      </c>
      <c r="J8" s="38">
        <v>0.07000000029802322</v>
      </c>
      <c r="K8" s="38">
        <v>0.11999999731779099</v>
      </c>
      <c r="L8" s="38">
        <v>0.14499999582767487</v>
      </c>
      <c r="M8" s="38">
        <v>0.28999999165534973</v>
      </c>
      <c r="N8" s="80">
        <f>VLOOKUP('Hide - Control'!B$3,'All practice data'!A:CA,A8+29,FALSE)</f>
        <v>0.11490807292469998</v>
      </c>
      <c r="O8" s="80">
        <f>VLOOKUP('Hide - Control'!C$3,'All practice data'!A:CA,A8+29,FALSE)</f>
        <v>0.15010930292554353</v>
      </c>
      <c r="P8" s="38">
        <f>VLOOKUP('Hide - Control'!$B$4,'All practice data'!B:BC,A8+2,FALSE)</f>
        <v>74499.49999999999</v>
      </c>
      <c r="Q8" s="38">
        <f>VLOOKUP('Hide - Control'!$B$4,'All practice data'!B:BC,3,FALSE)</f>
        <v>648340</v>
      </c>
      <c r="R8" s="38">
        <f>+((2*P8+1.96^2-1.96*SQRT(1.96^2+4*P8*(1-P8/Q8)))/(2*(Q8+1.96^2)))</f>
        <v>0.11413406340194558</v>
      </c>
      <c r="S8" s="38">
        <f>+((2*P8+1.96^2+1.96*SQRT(1.96^2+4*P8*(1-P8/Q8)))/(2*(Q8+1.96^2)))</f>
        <v>0.11568664598011139</v>
      </c>
      <c r="T8" s="53">
        <f aca="true" t="shared" si="16" ref="T8:T15">IF($C8=1,M8,I8)</f>
        <v>0.28999999165534973</v>
      </c>
      <c r="U8" s="51">
        <f t="shared" si="1"/>
        <v>0.05000000074505806</v>
      </c>
      <c r="V8" s="7"/>
      <c r="W8" s="27">
        <f t="shared" si="2"/>
        <v>-0.04999999701976776</v>
      </c>
      <c r="X8" s="27">
        <f t="shared" si="3"/>
        <v>0.28999999165534973</v>
      </c>
      <c r="Y8" s="27">
        <f t="shared" si="4"/>
        <v>-0.04999999701976776</v>
      </c>
      <c r="Z8" s="27">
        <f t="shared" si="5"/>
        <v>0.28999999165534973</v>
      </c>
      <c r="AA8" s="32">
        <f t="shared" si="6"/>
        <v>0.2941176502813931</v>
      </c>
      <c r="AB8" s="33">
        <f t="shared" si="7"/>
        <v>0.35294118033767174</v>
      </c>
      <c r="AC8" s="33">
        <v>0.5</v>
      </c>
      <c r="AD8" s="33">
        <f t="shared" si="8"/>
        <v>0.5735294098311642</v>
      </c>
      <c r="AE8" s="33">
        <f t="shared" si="9"/>
        <v>1</v>
      </c>
      <c r="AF8" s="33">
        <f t="shared" si="10"/>
        <v>-999</v>
      </c>
      <c r="AG8" s="33">
        <f t="shared" si="11"/>
        <v>-999</v>
      </c>
      <c r="AH8" s="33">
        <f t="shared" si="12"/>
        <v>0.47058824220330675</v>
      </c>
      <c r="AI8" s="34">
        <f t="shared" si="13"/>
        <v>0.5885567841489638</v>
      </c>
      <c r="AJ8" s="4">
        <v>3.778046717820832</v>
      </c>
      <c r="AK8" s="32">
        <f t="shared" si="14"/>
        <v>0.47058824220330675</v>
      </c>
      <c r="AL8" s="34">
        <f t="shared" si="15"/>
        <v>-999</v>
      </c>
      <c r="AQ8" s="103">
        <v>3</v>
      </c>
      <c r="AR8" s="103">
        <v>0.6187</v>
      </c>
      <c r="AS8" s="103">
        <v>8.7673</v>
      </c>
      <c r="AY8" s="103" t="s">
        <v>118</v>
      </c>
      <c r="AZ8" s="103" t="s">
        <v>119</v>
      </c>
      <c r="BA8" s="103" t="s">
        <v>358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422.1608380674415</v>
      </c>
      <c r="F9" s="38">
        <f>IF(LEFT(VLOOKUP($B9,'Indicator chart'!$D$1:$J$36,6,FALSE),1)=" "," ",VLOOKUP($B9,'Indicator chart'!$D$1:$J$36,6,FALSE))</f>
        <v>335.2440537910889</v>
      </c>
      <c r="G9" s="38">
        <f>IF(LEFT(VLOOKUP($B9,'Indicator chart'!$D$1:$J$36,7,FALSE),1)=" "," ",VLOOKUP($B9,'Indicator chart'!$D$1:$J$36,7,FALSE))</f>
        <v>524.7156978604196</v>
      </c>
      <c r="H9" s="50">
        <f t="shared" si="0"/>
        <v>2</v>
      </c>
      <c r="I9" s="38">
        <v>92.60600280761719</v>
      </c>
      <c r="J9" s="38">
        <v>352.798583984375</v>
      </c>
      <c r="K9" s="38">
        <v>427.4395446777344</v>
      </c>
      <c r="L9" s="38">
        <v>523.7938842773438</v>
      </c>
      <c r="M9" s="38">
        <v>770.1661987304688</v>
      </c>
      <c r="N9" s="80">
        <f>VLOOKUP('Hide - Control'!B$3,'All practice data'!A:CA,A9+29,FALSE)</f>
        <v>427.09072400283804</v>
      </c>
      <c r="O9" s="80">
        <f>VLOOKUP('Hide - Control'!C$3,'All practice data'!A:CA,A9+29,FALSE)</f>
        <v>445.6198871279627</v>
      </c>
      <c r="P9" s="38">
        <f>VLOOKUP('Hide - Control'!$B$4,'All practice data'!B:BC,A9+2,FALSE)</f>
        <v>2769</v>
      </c>
      <c r="Q9" s="38">
        <f>VLOOKUP('Hide - Control'!$B$4,'All practice data'!B:BC,3,FALSE)</f>
        <v>648340</v>
      </c>
      <c r="R9" s="38">
        <f>100000*(P9*(1-1/(9*P9)-1.96/(3*SQRT(P9)))^3)/Q9</f>
        <v>411.32930468648084</v>
      </c>
      <c r="S9" s="38">
        <f>100000*((P9+1)*(1-1/(9*(P9+1))+1.96/(3*SQRT(P9+1)))^3)/Q9</f>
        <v>443.3014363590691</v>
      </c>
      <c r="T9" s="53">
        <f t="shared" si="16"/>
        <v>770.1661987304688</v>
      </c>
      <c r="U9" s="51">
        <f t="shared" si="1"/>
        <v>92.60600280761719</v>
      </c>
      <c r="V9" s="7"/>
      <c r="W9" s="27">
        <f t="shared" si="2"/>
        <v>84.712890625</v>
      </c>
      <c r="X9" s="27">
        <f t="shared" si="3"/>
        <v>770.1661987304688</v>
      </c>
      <c r="Y9" s="27">
        <f t="shared" si="4"/>
        <v>84.712890625</v>
      </c>
      <c r="Z9" s="27">
        <f t="shared" si="5"/>
        <v>770.1661987304688</v>
      </c>
      <c r="AA9" s="32">
        <f t="shared" si="6"/>
        <v>0.011515171185668414</v>
      </c>
      <c r="AB9" s="33">
        <f t="shared" si="7"/>
        <v>0.39110715520556716</v>
      </c>
      <c r="AC9" s="33">
        <v>0.5</v>
      </c>
      <c r="AD9" s="33">
        <f t="shared" si="8"/>
        <v>0.6405702452088591</v>
      </c>
      <c r="AE9" s="33">
        <f t="shared" si="9"/>
        <v>1</v>
      </c>
      <c r="AF9" s="33">
        <f t="shared" si="10"/>
        <v>-999</v>
      </c>
      <c r="AG9" s="33">
        <f t="shared" si="11"/>
        <v>0.4922989552346275</v>
      </c>
      <c r="AH9" s="33">
        <f t="shared" si="12"/>
        <v>-999</v>
      </c>
      <c r="AI9" s="34">
        <f t="shared" si="13"/>
        <v>0.526523093893116</v>
      </c>
      <c r="AJ9" s="4">
        <v>4.854042143202755</v>
      </c>
      <c r="AK9" s="32">
        <f t="shared" si="14"/>
        <v>-999</v>
      </c>
      <c r="AL9" s="34">
        <f t="shared" si="15"/>
        <v>-999</v>
      </c>
      <c r="AQ9" s="103">
        <v>4</v>
      </c>
      <c r="AR9" s="103">
        <v>1.0899</v>
      </c>
      <c r="AS9" s="103">
        <v>10.2416</v>
      </c>
      <c r="AY9" s="103" t="s">
        <v>90</v>
      </c>
      <c r="AZ9" s="103" t="s">
        <v>422</v>
      </c>
      <c r="BA9" s="103" t="s">
        <v>358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166.7795903476312</v>
      </c>
      <c r="F10" s="38">
        <f>IF(LEFT(VLOOKUP($B10,'Indicator chart'!$D$1:$J$36,6,FALSE),1)=" "," ",VLOOKUP($B10,'Indicator chart'!$D$1:$J$36,6,FALSE))</f>
        <v>114.05659989740563</v>
      </c>
      <c r="G10" s="38">
        <f>IF(LEFT(VLOOKUP($B10,'Indicator chart'!$D$1:$J$36,7,FALSE),1)=" "," ",VLOOKUP($B10,'Indicator chart'!$D$1:$J$36,7,FALSE))</f>
        <v>235.45215400144372</v>
      </c>
      <c r="H10" s="50">
        <f t="shared" si="0"/>
        <v>2</v>
      </c>
      <c r="I10" s="38">
        <v>44.173431396484375</v>
      </c>
      <c r="J10" s="38">
        <v>174.25381469726562</v>
      </c>
      <c r="K10" s="38">
        <v>215.25950622558594</v>
      </c>
      <c r="L10" s="38">
        <v>264.46240234375</v>
      </c>
      <c r="M10" s="38">
        <v>405.3506164550781</v>
      </c>
      <c r="N10" s="80">
        <f>VLOOKUP('Hide - Control'!B$3,'All practice data'!A:CA,A10+29,FALSE)</f>
        <v>223.03112564395224</v>
      </c>
      <c r="O10" s="80">
        <f>VLOOKUP('Hide - Control'!C$3,'All practice data'!A:CA,A10+29,FALSE)</f>
        <v>234.12259778895606</v>
      </c>
      <c r="P10" s="38">
        <f>VLOOKUP('Hide - Control'!$B$4,'All practice data'!B:BC,A10+2,FALSE)</f>
        <v>1446</v>
      </c>
      <c r="Q10" s="38">
        <f>VLOOKUP('Hide - Control'!$B$4,'All practice data'!B:BC,3,FALSE)</f>
        <v>648340</v>
      </c>
      <c r="R10" s="38">
        <f>100000*(P10*(1-1/(9*P10)-1.96/(3*SQRT(P10)))^3)/Q10</f>
        <v>211.6820936673535</v>
      </c>
      <c r="S10" s="38">
        <f>100000*((P10+1)*(1-1/(9*(P10+1))+1.96/(3*SQRT(P10+1)))^3)/Q10</f>
        <v>234.8305421540631</v>
      </c>
      <c r="T10" s="53">
        <f t="shared" si="16"/>
        <v>405.3506164550781</v>
      </c>
      <c r="U10" s="51">
        <f t="shared" si="1"/>
        <v>44.173431396484375</v>
      </c>
      <c r="V10" s="7"/>
      <c r="W10" s="27">
        <f t="shared" si="2"/>
        <v>25.16839599609375</v>
      </c>
      <c r="X10" s="27">
        <f t="shared" si="3"/>
        <v>405.3506164550781</v>
      </c>
      <c r="Y10" s="27">
        <f t="shared" si="4"/>
        <v>25.16839599609375</v>
      </c>
      <c r="Z10" s="27">
        <f t="shared" si="5"/>
        <v>405.3506164550781</v>
      </c>
      <c r="AA10" s="32">
        <f t="shared" si="6"/>
        <v>0.04998927981809966</v>
      </c>
      <c r="AB10" s="33">
        <f t="shared" si="7"/>
        <v>0.39214200632839913</v>
      </c>
      <c r="AC10" s="33">
        <v>0.5</v>
      </c>
      <c r="AD10" s="33">
        <f t="shared" si="8"/>
        <v>0.6294192454838173</v>
      </c>
      <c r="AE10" s="33">
        <f t="shared" si="9"/>
        <v>1</v>
      </c>
      <c r="AF10" s="33">
        <f t="shared" si="10"/>
        <v>-999</v>
      </c>
      <c r="AG10" s="33">
        <f t="shared" si="11"/>
        <v>0.3724824221936887</v>
      </c>
      <c r="AH10" s="33">
        <f t="shared" si="12"/>
        <v>-999</v>
      </c>
      <c r="AI10" s="34">
        <f t="shared" si="13"/>
        <v>0.5496159224400268</v>
      </c>
      <c r="AJ10" s="4">
        <v>5.930037568584676</v>
      </c>
      <c r="AK10" s="32">
        <f t="shared" si="14"/>
        <v>-999</v>
      </c>
      <c r="AL10" s="34">
        <f t="shared" si="15"/>
        <v>-999</v>
      </c>
      <c r="AY10" s="103" t="s">
        <v>96</v>
      </c>
      <c r="AZ10" s="103" t="s">
        <v>97</v>
      </c>
      <c r="BA10" s="103" t="s">
        <v>539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244</v>
      </c>
      <c r="E11" s="38">
        <f>IF(LEFT(VLOOKUP($B11,'Indicator chart'!$D$1:$J$36,5,FALSE),1)=" "," ",VLOOKUP($B11,'Indicator chart'!$D$1:$J$36,5,FALSE))</f>
        <v>0.013000000000000001</v>
      </c>
      <c r="F11" s="38">
        <f>IF(LEFT(VLOOKUP($B11,'Indicator chart'!$D$1:$J$36,6,FALSE),1)=" "," ",VLOOKUP($B11,'Indicator chart'!$D$1:$J$36,6,FALSE))</f>
        <v>0.011226153631490968</v>
      </c>
      <c r="G11" s="38">
        <f>IF(LEFT(VLOOKUP($B11,'Indicator chart'!$D$1:$J$36,7,FALSE),1)=" "," ",VLOOKUP($B11,'Indicator chart'!$D$1:$J$36,7,FALSE))</f>
        <v>0.014402821389594088</v>
      </c>
      <c r="H11" s="50">
        <f t="shared" si="0"/>
        <v>1</v>
      </c>
      <c r="I11" s="38">
        <v>0.003000000026077032</v>
      </c>
      <c r="J11" s="38">
        <v>0.012500000186264515</v>
      </c>
      <c r="K11" s="38">
        <v>0.01600000075995922</v>
      </c>
      <c r="L11" s="38">
        <v>0.019999999552965164</v>
      </c>
      <c r="M11" s="38">
        <v>0.02800000086426735</v>
      </c>
      <c r="N11" s="80">
        <f>VLOOKUP('Hide - Control'!B$3,'All practice data'!A:CA,A11+29,FALSE)</f>
        <v>0.01622296942962026</v>
      </c>
      <c r="O11" s="80">
        <f>VLOOKUP('Hide - Control'!C$3,'All practice data'!A:CA,A11+29,FALSE)</f>
        <v>0.015940726342527432</v>
      </c>
      <c r="P11" s="38">
        <f>VLOOKUP('Hide - Control'!$B$4,'All practice data'!B:BC,A11+2,FALSE)</f>
        <v>10518</v>
      </c>
      <c r="Q11" s="38">
        <f>VLOOKUP('Hide - Control'!$B$4,'All practice data'!B:BC,3,FALSE)</f>
        <v>648340</v>
      </c>
      <c r="R11" s="80">
        <f aca="true" t="shared" si="17" ref="R11:R16">+((2*P11+1.96^2-1.96*SQRT(1.96^2+4*P11*(1-P11/Q11)))/(2*(Q11+1.96^2)))</f>
        <v>0.01591830715547132</v>
      </c>
      <c r="S11" s="80">
        <f aca="true" t="shared" si="18" ref="S11:S16">+((2*P11+1.96^2+1.96*SQRT(1.96^2+4*P11*(1-P11/Q11)))/(2*(Q11+1.96^2)))</f>
        <v>0.01653336470444382</v>
      </c>
      <c r="T11" s="53">
        <f t="shared" si="16"/>
        <v>0.02800000086426735</v>
      </c>
      <c r="U11" s="51">
        <f t="shared" si="1"/>
        <v>0.003000000026077032</v>
      </c>
      <c r="V11" s="7"/>
      <c r="W11" s="27">
        <f t="shared" si="2"/>
        <v>0.003000000026077032</v>
      </c>
      <c r="X11" s="27">
        <f t="shared" si="3"/>
        <v>0.02900000149384141</v>
      </c>
      <c r="Y11" s="27">
        <f t="shared" si="4"/>
        <v>0.003000000026077032</v>
      </c>
      <c r="Z11" s="27">
        <f t="shared" si="5"/>
        <v>0.02900000149384141</v>
      </c>
      <c r="AA11" s="32">
        <f t="shared" si="6"/>
        <v>0</v>
      </c>
      <c r="AB11" s="33">
        <f t="shared" si="7"/>
        <v>0.365384600918807</v>
      </c>
      <c r="AC11" s="33">
        <v>0.5</v>
      </c>
      <c r="AD11" s="33">
        <f t="shared" si="8"/>
        <v>0.6538460987383123</v>
      </c>
      <c r="AE11" s="33">
        <f t="shared" si="9"/>
        <v>0.9615384394953249</v>
      </c>
      <c r="AF11" s="33">
        <f t="shared" si="10"/>
        <v>-999</v>
      </c>
      <c r="AG11" s="33">
        <f t="shared" si="11"/>
        <v>-999</v>
      </c>
      <c r="AH11" s="33">
        <f t="shared" si="12"/>
        <v>0.3846153618999324</v>
      </c>
      <c r="AI11" s="34">
        <f t="shared" si="13"/>
        <v>0.4977202148428615</v>
      </c>
      <c r="AJ11" s="4">
        <v>7.0060329939666</v>
      </c>
      <c r="AK11" s="32">
        <f t="shared" si="14"/>
        <v>0.3846153618999324</v>
      </c>
      <c r="AL11" s="34">
        <f t="shared" si="15"/>
        <v>-999</v>
      </c>
      <c r="AY11" s="103" t="s">
        <v>214</v>
      </c>
      <c r="AZ11" s="103" t="s">
        <v>215</v>
      </c>
      <c r="BA11" s="103" t="s">
        <v>539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1691</v>
      </c>
      <c r="E12" s="38">
        <f>IF(LEFT(VLOOKUP($B12,'Indicator chart'!$D$1:$J$36,5,FALSE),1)=" "," ",VLOOKUP($B12,'Indicator chart'!$D$1:$J$36,5,FALSE))</f>
        <v>0.760684</v>
      </c>
      <c r="F12" s="38">
        <f>IF(LEFT(VLOOKUP($B12,'Indicator chart'!$D$1:$J$36,6,FALSE),1)=" "," ",VLOOKUP($B12,'Indicator chart'!$D$1:$J$36,6,FALSE))</f>
        <v>0.7425068783115695</v>
      </c>
      <c r="G12" s="38">
        <f>IF(LEFT(VLOOKUP($B12,'Indicator chart'!$D$1:$J$36,7,FALSE),1)=" "," ",VLOOKUP($B12,'Indicator chart'!$D$1:$J$36,7,FALSE))</f>
        <v>0.7779612142550504</v>
      </c>
      <c r="H12" s="50">
        <f t="shared" si="0"/>
        <v>2</v>
      </c>
      <c r="I12" s="38">
        <v>0.43030300736427307</v>
      </c>
      <c r="J12" s="38">
        <v>0.7184334993362427</v>
      </c>
      <c r="K12" s="38">
        <v>0.7639889717102051</v>
      </c>
      <c r="L12" s="38">
        <v>0.8030800223350525</v>
      </c>
      <c r="M12" s="38">
        <v>0.8627679944038391</v>
      </c>
      <c r="N12" s="80">
        <f>VLOOKUP('Hide - Control'!B$3,'All practice data'!A:CA,A12+29,FALSE)</f>
        <v>0.7673611111111112</v>
      </c>
      <c r="O12" s="80">
        <f>VLOOKUP('Hide - Control'!C$3,'All practice data'!A:CA,A12+29,FALSE)</f>
        <v>0.7248631360507991</v>
      </c>
      <c r="P12" s="38">
        <f>VLOOKUP('Hide - Control'!$B$4,'All practice data'!B:BC,A12+2,FALSE)</f>
        <v>59228</v>
      </c>
      <c r="Q12" s="38">
        <f>VLOOKUP('Hide - Control'!$B$4,'All practice data'!B:BJ,57,FALSE)</f>
        <v>77184</v>
      </c>
      <c r="R12" s="38">
        <f t="shared" si="17"/>
        <v>0.7643670447443369</v>
      </c>
      <c r="S12" s="38">
        <f t="shared" si="18"/>
        <v>0.7703285646222036</v>
      </c>
      <c r="T12" s="53">
        <f t="shared" si="16"/>
        <v>0.8627679944038391</v>
      </c>
      <c r="U12" s="51">
        <f t="shared" si="1"/>
        <v>0.43030300736427307</v>
      </c>
      <c r="V12" s="7"/>
      <c r="W12" s="27">
        <f t="shared" si="2"/>
        <v>0.43030300736427307</v>
      </c>
      <c r="X12" s="27">
        <f t="shared" si="3"/>
        <v>1.097674936056137</v>
      </c>
      <c r="Y12" s="27">
        <f t="shared" si="4"/>
        <v>0.43030300736427307</v>
      </c>
      <c r="Z12" s="27">
        <f t="shared" si="5"/>
        <v>1.097674936056137</v>
      </c>
      <c r="AA12" s="32">
        <f t="shared" si="6"/>
        <v>0</v>
      </c>
      <c r="AB12" s="33">
        <f t="shared" si="7"/>
        <v>0.43173900427119094</v>
      </c>
      <c r="AC12" s="33">
        <v>0.5</v>
      </c>
      <c r="AD12" s="33">
        <f t="shared" si="8"/>
        <v>0.5585746102648803</v>
      </c>
      <c r="AE12" s="33">
        <f t="shared" si="9"/>
        <v>0.6480119532256231</v>
      </c>
      <c r="AF12" s="33">
        <f t="shared" si="10"/>
        <v>-999</v>
      </c>
      <c r="AG12" s="33">
        <f t="shared" si="11"/>
        <v>0.49504778135232147</v>
      </c>
      <c r="AH12" s="33">
        <f t="shared" si="12"/>
        <v>-999</v>
      </c>
      <c r="AI12" s="34">
        <f t="shared" si="13"/>
        <v>0.4413732673232185</v>
      </c>
      <c r="AJ12" s="4">
        <v>8.082028419348523</v>
      </c>
      <c r="AK12" s="32">
        <f t="shared" si="14"/>
        <v>-999</v>
      </c>
      <c r="AL12" s="34">
        <f t="shared" si="15"/>
        <v>-999</v>
      </c>
      <c r="AY12" s="103" t="s">
        <v>261</v>
      </c>
      <c r="AZ12" s="103" t="s">
        <v>475</v>
      </c>
      <c r="BA12" s="103" t="s">
        <v>358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0.465116</v>
      </c>
      <c r="F13" s="38">
        <f>IF(LEFT(VLOOKUP($B13,'Indicator chart'!$D$1:$J$36,6,FALSE),1)=" "," ",VLOOKUP($B13,'Indicator chart'!$D$1:$J$36,6,FALSE))</f>
        <v>0.3251082626391855</v>
      </c>
      <c r="G13" s="38">
        <f>IF(LEFT(VLOOKUP($B13,'Indicator chart'!$D$1:$J$36,7,FALSE),1)=" "," ",VLOOKUP($B13,'Indicator chart'!$D$1:$J$36,7,FALSE))</f>
        <v>0.6108461027112722</v>
      </c>
      <c r="H13" s="50">
        <f t="shared" si="0"/>
        <v>1</v>
      </c>
      <c r="I13" s="38">
        <v>0.33333298563957214</v>
      </c>
      <c r="J13" s="38">
        <v>0.5555559992790222</v>
      </c>
      <c r="K13" s="38">
        <v>0.6833335161209106</v>
      </c>
      <c r="L13" s="38">
        <v>0.7969390153884888</v>
      </c>
      <c r="M13" s="38">
        <v>1</v>
      </c>
      <c r="N13" s="80">
        <f>VLOOKUP('Hide - Control'!B$3,'All practice data'!A:CA,A13+29,FALSE)</f>
        <v>0.7961895114158809</v>
      </c>
      <c r="O13" s="80">
        <f>VLOOKUP('Hide - Control'!C$3,'All practice data'!A:CA,A13+29,FALSE)</f>
        <v>0.7467412166569077</v>
      </c>
      <c r="P13" s="38">
        <f>VLOOKUP('Hide - Control'!$B$4,'All practice data'!B:BC,A13+2,FALSE)</f>
        <v>20435</v>
      </c>
      <c r="Q13" s="38">
        <f>VLOOKUP('Hide - Control'!$B$4,'All practice data'!B:BJ,58,FALSE)</f>
        <v>25666</v>
      </c>
      <c r="R13" s="38">
        <f t="shared" si="17"/>
        <v>0.7912170397427382</v>
      </c>
      <c r="S13" s="38">
        <f t="shared" si="18"/>
        <v>0.8010733310712368</v>
      </c>
      <c r="T13" s="53">
        <f t="shared" si="16"/>
        <v>1</v>
      </c>
      <c r="U13" s="51">
        <f t="shared" si="1"/>
        <v>0.33333298563957214</v>
      </c>
      <c r="V13" s="7"/>
      <c r="W13" s="27">
        <f t="shared" si="2"/>
        <v>0.33333298563957214</v>
      </c>
      <c r="X13" s="27">
        <f t="shared" si="3"/>
        <v>1.0333340466022491</v>
      </c>
      <c r="Y13" s="27">
        <f t="shared" si="4"/>
        <v>0.33333298563957214</v>
      </c>
      <c r="Z13" s="27">
        <f t="shared" si="5"/>
        <v>1.0333340466022491</v>
      </c>
      <c r="AA13" s="32">
        <f t="shared" si="6"/>
        <v>0</v>
      </c>
      <c r="AB13" s="33">
        <f t="shared" si="7"/>
        <v>0.3174609668931611</v>
      </c>
      <c r="AC13" s="33">
        <v>0.5</v>
      </c>
      <c r="AD13" s="33">
        <f t="shared" si="8"/>
        <v>0.6622933244005974</v>
      </c>
      <c r="AE13" s="33">
        <f t="shared" si="9"/>
        <v>0.9523800056011251</v>
      </c>
      <c r="AF13" s="33">
        <f t="shared" si="10"/>
        <v>-999</v>
      </c>
      <c r="AG13" s="33">
        <f t="shared" si="11"/>
        <v>-999</v>
      </c>
      <c r="AH13" s="33">
        <f t="shared" si="12"/>
        <v>0.18826116374622795</v>
      </c>
      <c r="AI13" s="34">
        <f t="shared" si="13"/>
        <v>0.5905822920450944</v>
      </c>
      <c r="AJ13" s="4">
        <v>9.158023844730446</v>
      </c>
      <c r="AK13" s="32">
        <f t="shared" si="14"/>
        <v>0.18826116374622795</v>
      </c>
      <c r="AL13" s="34">
        <f t="shared" si="15"/>
        <v>-999</v>
      </c>
      <c r="AY13" s="103" t="s">
        <v>260</v>
      </c>
      <c r="AZ13" s="103" t="s">
        <v>474</v>
      </c>
      <c r="BA13" s="103" t="s">
        <v>358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3500</v>
      </c>
      <c r="E14" s="38">
        <f>IF(LEFT(VLOOKUP($B14,'Indicator chart'!$D$1:$J$36,5,FALSE),1)=" "," ",VLOOKUP($B14,'Indicator chart'!$D$1:$J$36,5,FALSE))</f>
        <v>0.760043</v>
      </c>
      <c r="F14" s="38">
        <f>IF(LEFT(VLOOKUP($B14,'Indicator chart'!$D$1:$J$36,6,FALSE),1)=" "," ",VLOOKUP($B14,'Indicator chart'!$D$1:$J$36,6,FALSE))</f>
        <v>0.7474952654959993</v>
      </c>
      <c r="G14" s="38">
        <f>IF(LEFT(VLOOKUP($B14,'Indicator chart'!$D$1:$J$36,7,FALSE),1)=" "," ",VLOOKUP($B14,'Indicator chart'!$D$1:$J$36,7,FALSE))</f>
        <v>0.7721580894815291</v>
      </c>
      <c r="H14" s="50">
        <f t="shared" si="0"/>
        <v>2</v>
      </c>
      <c r="I14" s="38">
        <v>0.5764260292053223</v>
      </c>
      <c r="J14" s="38">
        <v>0.7415145039558411</v>
      </c>
      <c r="K14" s="38">
        <v>0.7679709792137146</v>
      </c>
      <c r="L14" s="38">
        <v>0.7908084988594055</v>
      </c>
      <c r="M14" s="38">
        <v>0.8635290265083313</v>
      </c>
      <c r="N14" s="80">
        <f>VLOOKUP('Hide - Control'!B$3,'All practice data'!A:CA,A14+29,FALSE)</f>
        <v>0.7659943271352033</v>
      </c>
      <c r="O14" s="80">
        <f>VLOOKUP('Hide - Control'!C$3,'All practice data'!A:CA,A14+29,FALSE)</f>
        <v>0.7559681673907895</v>
      </c>
      <c r="P14" s="38">
        <f>VLOOKUP('Hide - Control'!$B$4,'All practice data'!B:BC,A14+2,FALSE)</f>
        <v>121525</v>
      </c>
      <c r="Q14" s="38">
        <f>VLOOKUP('Hide - Control'!$B$4,'All practice data'!B:BJ,59,FALSE)</f>
        <v>158650</v>
      </c>
      <c r="R14" s="38">
        <f t="shared" si="17"/>
        <v>0.763904552813231</v>
      </c>
      <c r="S14" s="38">
        <f t="shared" si="18"/>
        <v>0.7680712200318432</v>
      </c>
      <c r="T14" s="53">
        <f t="shared" si="16"/>
        <v>0.8635290265083313</v>
      </c>
      <c r="U14" s="51">
        <f t="shared" si="1"/>
        <v>0.5764260292053223</v>
      </c>
      <c r="V14" s="7"/>
      <c r="W14" s="27">
        <f t="shared" si="2"/>
        <v>0.5764260292053223</v>
      </c>
      <c r="X14" s="27">
        <f t="shared" si="3"/>
        <v>0.9595159292221069</v>
      </c>
      <c r="Y14" s="27">
        <f t="shared" si="4"/>
        <v>0.5764260292053223</v>
      </c>
      <c r="Z14" s="27">
        <f t="shared" si="5"/>
        <v>0.9595159292221069</v>
      </c>
      <c r="AA14" s="32">
        <f t="shared" si="6"/>
        <v>0</v>
      </c>
      <c r="AB14" s="33">
        <f t="shared" si="7"/>
        <v>0.4309392514479907</v>
      </c>
      <c r="AC14" s="33">
        <v>0.5</v>
      </c>
      <c r="AD14" s="33">
        <f t="shared" si="8"/>
        <v>0.5596139956827113</v>
      </c>
      <c r="AE14" s="33">
        <f t="shared" si="9"/>
        <v>0.7494402679121269</v>
      </c>
      <c r="AF14" s="33">
        <f t="shared" si="10"/>
        <v>-999</v>
      </c>
      <c r="AG14" s="33">
        <f t="shared" si="11"/>
        <v>0.4793051729806314</v>
      </c>
      <c r="AH14" s="33">
        <f t="shared" si="12"/>
        <v>-999</v>
      </c>
      <c r="AI14" s="34">
        <f t="shared" si="13"/>
        <v>0.4686684200695472</v>
      </c>
      <c r="AJ14" s="4">
        <v>10.234019270112368</v>
      </c>
      <c r="AK14" s="32">
        <f t="shared" si="14"/>
        <v>-999</v>
      </c>
      <c r="AL14" s="34">
        <f t="shared" si="15"/>
        <v>-999</v>
      </c>
      <c r="AY14" s="103" t="s">
        <v>53</v>
      </c>
      <c r="AZ14" s="103" t="s">
        <v>482</v>
      </c>
      <c r="BA14" s="103" t="s">
        <v>539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1243</v>
      </c>
      <c r="E15" s="38">
        <f>IF(LEFT(VLOOKUP($B15,'Indicator chart'!$D$1:$J$36,5,FALSE),1)=" "," ",VLOOKUP($B15,'Indicator chart'!$D$1:$J$36,5,FALSE))</f>
        <v>0.595307</v>
      </c>
      <c r="F15" s="38">
        <f>IF(LEFT(VLOOKUP($B15,'Indicator chart'!$D$1:$J$36,6,FALSE),1)=" "," ",VLOOKUP($B15,'Indicator chart'!$D$1:$J$36,6,FALSE))</f>
        <v>0.5740966014921561</v>
      </c>
      <c r="G15" s="38">
        <f>IF(LEFT(VLOOKUP($B15,'Indicator chart'!$D$1:$J$36,7,FALSE),1)=" "," ",VLOOKUP($B15,'Indicator chart'!$D$1:$J$36,7,FALSE))</f>
        <v>0.6161663706181604</v>
      </c>
      <c r="H15" s="50">
        <f t="shared" si="0"/>
        <v>3</v>
      </c>
      <c r="I15" s="38">
        <v>0.31355899572372437</v>
      </c>
      <c r="J15" s="38">
        <v>0.506245493888855</v>
      </c>
      <c r="K15" s="38">
        <v>0.569087028503418</v>
      </c>
      <c r="L15" s="38">
        <v>0.5925645232200623</v>
      </c>
      <c r="M15" s="38">
        <v>0.6673790216445923</v>
      </c>
      <c r="N15" s="80">
        <f>VLOOKUP('Hide - Control'!B$3,'All practice data'!A:CA,A15+29,FALSE)</f>
        <v>0.5719200592982112</v>
      </c>
      <c r="O15" s="80">
        <f>VLOOKUP('Hide - Control'!C$3,'All practice data'!A:CA,A15+29,FALSE)</f>
        <v>0.5147293797466616</v>
      </c>
      <c r="P15" s="38">
        <f>VLOOKUP('Hide - Control'!$B$4,'All practice data'!B:BC,A15+2,FALSE)</f>
        <v>40894</v>
      </c>
      <c r="Q15" s="38">
        <f>VLOOKUP('Hide - Control'!$B$4,'All practice data'!B:BJ,60,FALSE)</f>
        <v>71503</v>
      </c>
      <c r="R15" s="38">
        <f t="shared" si="17"/>
        <v>0.5682894872234219</v>
      </c>
      <c r="S15" s="38">
        <f t="shared" si="18"/>
        <v>0.5755429037739732</v>
      </c>
      <c r="T15" s="53">
        <f t="shared" si="16"/>
        <v>0.6673790216445923</v>
      </c>
      <c r="U15" s="51">
        <f t="shared" si="1"/>
        <v>0.31355899572372437</v>
      </c>
      <c r="V15" s="7"/>
      <c r="W15" s="27">
        <f t="shared" si="2"/>
        <v>0.31355899572372437</v>
      </c>
      <c r="X15" s="27">
        <f t="shared" si="3"/>
        <v>0.8246150612831116</v>
      </c>
      <c r="Y15" s="27">
        <f t="shared" si="4"/>
        <v>0.31355899572372437</v>
      </c>
      <c r="Z15" s="27">
        <f t="shared" si="5"/>
        <v>0.8246150612831116</v>
      </c>
      <c r="AA15" s="32">
        <f t="shared" si="6"/>
        <v>0</v>
      </c>
      <c r="AB15" s="33">
        <f t="shared" si="7"/>
        <v>0.37703592844401823</v>
      </c>
      <c r="AC15" s="33">
        <v>0.5</v>
      </c>
      <c r="AD15" s="33">
        <f t="shared" si="8"/>
        <v>0.5459391763425144</v>
      </c>
      <c r="AE15" s="33">
        <f t="shared" si="9"/>
        <v>0.6923311350068544</v>
      </c>
      <c r="AF15" s="33">
        <f t="shared" si="10"/>
        <v>-999</v>
      </c>
      <c r="AG15" s="33">
        <f t="shared" si="11"/>
        <v>-999</v>
      </c>
      <c r="AH15" s="33">
        <f t="shared" si="12"/>
        <v>0.5513054697196137</v>
      </c>
      <c r="AI15" s="34">
        <f t="shared" si="13"/>
        <v>0.3936366234157536</v>
      </c>
      <c r="AJ15" s="4">
        <v>11.310014695494289</v>
      </c>
      <c r="AK15" s="32">
        <f t="shared" si="14"/>
        <v>-999</v>
      </c>
      <c r="AL15" s="34">
        <f t="shared" si="15"/>
        <v>0.5513054697196137</v>
      </c>
      <c r="AY15" s="103" t="s">
        <v>229</v>
      </c>
      <c r="AZ15" s="103" t="s">
        <v>230</v>
      </c>
      <c r="BA15" s="103" t="s">
        <v>358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608</v>
      </c>
      <c r="E16" s="38">
        <f>IF(LEFT(VLOOKUP($B16,'Indicator chart'!$D$1:$J$36,5,FALSE),1)=" "," ",VLOOKUP($B16,'Indicator chart'!$D$1:$J$36,5,FALSE))</f>
        <v>0.604374</v>
      </c>
      <c r="F16" s="38">
        <f>IF(LEFT(VLOOKUP($B16,'Indicator chart'!$D$1:$J$36,6,FALSE),1)=" "," ",VLOOKUP($B16,'Indicator chart'!$D$1:$J$36,6,FALSE))</f>
        <v>0.573814544190822</v>
      </c>
      <c r="G16" s="38">
        <f>IF(LEFT(VLOOKUP($B16,'Indicator chart'!$D$1:$J$36,7,FALSE),1)=" "," ",VLOOKUP($B16,'Indicator chart'!$D$1:$J$36,7,FALSE))</f>
        <v>0.6341388615710322</v>
      </c>
      <c r="H16" s="50">
        <f t="shared" si="0"/>
        <v>2</v>
      </c>
      <c r="I16" s="38">
        <v>0.30000001192092896</v>
      </c>
      <c r="J16" s="38">
        <v>0.5234569907188416</v>
      </c>
      <c r="K16" s="38">
        <v>0.5876290202140808</v>
      </c>
      <c r="L16" s="38">
        <v>0.6145485043525696</v>
      </c>
      <c r="M16" s="38">
        <v>0.6785709857940674</v>
      </c>
      <c r="N16" s="80">
        <f>VLOOKUP('Hide - Control'!B$3,'All practice data'!A:CA,A16+29,FALSE)</f>
        <v>0.5871380155952939</v>
      </c>
      <c r="O16" s="80">
        <f>VLOOKUP('Hide - Control'!C$3,'All practice data'!A:CA,A16+29,FALSE)</f>
        <v>0.5752927626212945</v>
      </c>
      <c r="P16" s="38">
        <f>VLOOKUP('Hide - Control'!$B$4,'All practice data'!B:BC,A16+2,FALSE)</f>
        <v>21309</v>
      </c>
      <c r="Q16" s="38">
        <f>VLOOKUP('Hide - Control'!$B$4,'All practice data'!B:BJ,61,FALSE)</f>
        <v>36293</v>
      </c>
      <c r="R16" s="38">
        <f t="shared" si="17"/>
        <v>0.5820636126037715</v>
      </c>
      <c r="S16" s="38">
        <f t="shared" si="18"/>
        <v>0.5921939734887882</v>
      </c>
      <c r="T16" s="53">
        <f aca="true" t="shared" si="19" ref="T16:T31">IF($C16=1,M16,I16)</f>
        <v>0.6785709857940674</v>
      </c>
      <c r="U16" s="51">
        <f aca="true" t="shared" si="20" ref="U16:U31">IF($C16=1,I16,M16)</f>
        <v>0.30000001192092896</v>
      </c>
      <c r="V16" s="7"/>
      <c r="W16" s="27">
        <f t="shared" si="2"/>
        <v>0.30000001192092896</v>
      </c>
      <c r="X16" s="27">
        <f t="shared" si="3"/>
        <v>0.8752580285072327</v>
      </c>
      <c r="Y16" s="27">
        <f t="shared" si="4"/>
        <v>0.30000001192092896</v>
      </c>
      <c r="Z16" s="27">
        <f t="shared" si="5"/>
        <v>0.8752580285072327</v>
      </c>
      <c r="AA16" s="32">
        <f t="shared" si="6"/>
        <v>0</v>
      </c>
      <c r="AB16" s="33">
        <f t="shared" si="7"/>
        <v>0.3884465272191269</v>
      </c>
      <c r="AC16" s="33">
        <v>0.5</v>
      </c>
      <c r="AD16" s="33">
        <f t="shared" si="8"/>
        <v>0.5467954958685051</v>
      </c>
      <c r="AE16" s="33">
        <f t="shared" si="9"/>
        <v>0.6580890017311787</v>
      </c>
      <c r="AF16" s="33">
        <f t="shared" si="10"/>
        <v>-999</v>
      </c>
      <c r="AG16" s="33">
        <f t="shared" si="11"/>
        <v>0.5291086422146487</v>
      </c>
      <c r="AH16" s="33">
        <f t="shared" si="12"/>
        <v>-999</v>
      </c>
      <c r="AI16" s="34">
        <f t="shared" si="13"/>
        <v>0.4785552617484722</v>
      </c>
      <c r="AJ16" s="4">
        <v>12.386010120876215</v>
      </c>
      <c r="AK16" s="32">
        <f t="shared" si="14"/>
        <v>-999</v>
      </c>
      <c r="AL16" s="34">
        <f t="shared" si="15"/>
        <v>-999</v>
      </c>
      <c r="AY16" s="103" t="s">
        <v>354</v>
      </c>
      <c r="AZ16" s="103" t="s">
        <v>377</v>
      </c>
      <c r="BA16" s="103" t="s">
        <v>539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240</v>
      </c>
      <c r="E17" s="38">
        <f>IF(LEFT(VLOOKUP($B17,'Indicator chart'!$D$1:$J$36,5,FALSE),1)=" "," ",VLOOKUP($B17,'Indicator chart'!$D$1:$J$36,5,FALSE))</f>
        <v>1250.846927607234</v>
      </c>
      <c r="F17" s="38">
        <f>IF(LEFT(VLOOKUP($B17,'Indicator chart'!$D$1:$J$36,6,FALSE),1)=" "," ",VLOOKUP($B17,'Indicator chart'!$D$1:$J$36,6,FALSE))</f>
        <v>1097.58002509224</v>
      </c>
      <c r="G17" s="38">
        <f>IF(LEFT(VLOOKUP($B17,'Indicator chart'!$D$1:$J$36,7,FALSE),1)=" "," ",VLOOKUP($B17,'Indicator chart'!$D$1:$J$36,7,FALSE))</f>
        <v>1419.523944627117</v>
      </c>
      <c r="H17" s="50">
        <f t="shared" si="0"/>
        <v>1</v>
      </c>
      <c r="I17" s="38">
        <v>417.9031066894531</v>
      </c>
      <c r="J17" s="38">
        <v>1254.6934814453125</v>
      </c>
      <c r="K17" s="38">
        <v>1705.0404052734375</v>
      </c>
      <c r="L17" s="38">
        <v>1972.0272216796875</v>
      </c>
      <c r="M17" s="38">
        <v>3793.559814453125</v>
      </c>
      <c r="N17" s="80">
        <f>VLOOKUP('Hide - Control'!B$3,'All practice data'!A:CA,A17+29,FALSE)</f>
        <v>1792.5779683499397</v>
      </c>
      <c r="O17" s="80">
        <f>VLOOKUP('Hide - Control'!C$3,'All practice data'!A:CA,A17+29,FALSE)</f>
        <v>1812.1669120472948</v>
      </c>
      <c r="P17" s="38">
        <f>VLOOKUP('Hide - Control'!$B$4,'All practice data'!B:BC,A17+2,FALSE)</f>
        <v>11622</v>
      </c>
      <c r="Q17" s="38">
        <f>VLOOKUP('Hide - Control'!$B$4,'All practice data'!B:BC,3,FALSE)</f>
        <v>648340</v>
      </c>
      <c r="R17" s="38">
        <f>100000*(P17*(1-1/(9*P17)-1.96/(3*SQRT(P17)))^3)/Q17</f>
        <v>1760.133587180975</v>
      </c>
      <c r="S17" s="38">
        <f>100000*((P17+1)*(1-1/(9*(P17+1))+1.96/(3*SQRT(P17+1)))^3)/Q17</f>
        <v>1825.4701812448343</v>
      </c>
      <c r="T17" s="53">
        <f t="shared" si="19"/>
        <v>3793.559814453125</v>
      </c>
      <c r="U17" s="51">
        <f t="shared" si="20"/>
        <v>417.9031066894531</v>
      </c>
      <c r="V17" s="7"/>
      <c r="W17" s="27">
        <f t="shared" si="2"/>
        <v>-383.47900390625</v>
      </c>
      <c r="X17" s="27">
        <f t="shared" si="3"/>
        <v>3793.559814453125</v>
      </c>
      <c r="Y17" s="27">
        <f t="shared" si="4"/>
        <v>-383.47900390625</v>
      </c>
      <c r="Z17" s="27">
        <f t="shared" si="5"/>
        <v>3793.559814453125</v>
      </c>
      <c r="AA17" s="32">
        <f t="shared" si="6"/>
        <v>0.19185412093212573</v>
      </c>
      <c r="AB17" s="33">
        <f t="shared" si="7"/>
        <v>0.3921851236218559</v>
      </c>
      <c r="AC17" s="33">
        <v>0.5</v>
      </c>
      <c r="AD17" s="33">
        <f t="shared" si="8"/>
        <v>0.5639177244972589</v>
      </c>
      <c r="AE17" s="33">
        <f t="shared" si="9"/>
        <v>1</v>
      </c>
      <c r="AF17" s="33">
        <f t="shared" si="10"/>
        <v>-999</v>
      </c>
      <c r="AG17" s="33">
        <f t="shared" si="11"/>
        <v>-999</v>
      </c>
      <c r="AH17" s="33">
        <f t="shared" si="12"/>
        <v>0.3912642430637985</v>
      </c>
      <c r="AI17" s="34">
        <f t="shared" si="13"/>
        <v>0.5256465193244083</v>
      </c>
      <c r="AJ17" s="4">
        <v>13.462005546258133</v>
      </c>
      <c r="AK17" s="32">
        <f t="shared" si="14"/>
        <v>0.3912642430637985</v>
      </c>
      <c r="AL17" s="34">
        <f t="shared" si="15"/>
        <v>-999</v>
      </c>
      <c r="AY17" s="103" t="s">
        <v>103</v>
      </c>
      <c r="AZ17" s="103" t="s">
        <v>104</v>
      </c>
      <c r="BA17" s="103" t="s">
        <v>358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240</v>
      </c>
      <c r="E18" s="80">
        <f>IF(LEFT(VLOOKUP($B18,'Indicator chart'!$D$1:$J$36,5,FALSE),1)=" "," ",VLOOKUP($B18,'Indicator chart'!$D$1:$J$36,5,FALSE))</f>
        <v>0.7295329285</v>
      </c>
      <c r="F18" s="81">
        <f>IF(LEFT(VLOOKUP($B18,'Indicator chart'!$D$1:$J$36,6,FALSE),1)=" "," ",VLOOKUP($B18,'Indicator chart'!$D$1:$J$36,6,FALSE))</f>
        <v>0.6401478577</v>
      </c>
      <c r="G18" s="38">
        <f>IF(LEFT(VLOOKUP($B18,'Indicator chart'!$D$1:$J$36,7,FALSE),1)=" "," ",VLOOKUP($B18,'Indicator chart'!$D$1:$J$36,7,FALSE))</f>
        <v>0.8279062653</v>
      </c>
      <c r="H18" s="50">
        <f>IF(LEFT(F18,1)=" ",4,IF(AND(ABS(N18-E18)&gt;SQRT((E18-G18)^2+(N18-R18)^2),E18&lt;N18),1,IF(AND(ABS(N18-E18)&gt;SQRT((E18-F18)^2+(N18-S18)^2),E18&gt;N18),3,2)))</f>
        <v>1</v>
      </c>
      <c r="I18" s="38">
        <v>0.2566588222980499</v>
      </c>
      <c r="J18" s="38"/>
      <c r="K18" s="38">
        <v>1</v>
      </c>
      <c r="L18" s="38"/>
      <c r="M18" s="38">
        <v>1.8657972812652588</v>
      </c>
      <c r="N18" s="80">
        <v>1</v>
      </c>
      <c r="O18" s="80">
        <f>VLOOKUP('Hide - Control'!C$3,'All practice data'!A:CA,A18+29,FALSE)</f>
        <v>1</v>
      </c>
      <c r="P18" s="38">
        <f>VLOOKUP('Hide - Control'!$B$4,'All practice data'!B:BC,A18+2,FALSE)</f>
        <v>11622</v>
      </c>
      <c r="Q18" s="38">
        <f>VLOOKUP('Hide - Control'!$B$4,'All practice data'!B:BC,14,FALSE)</f>
        <v>11622</v>
      </c>
      <c r="R18" s="81">
        <v>1</v>
      </c>
      <c r="S18" s="38">
        <v>1</v>
      </c>
      <c r="T18" s="53">
        <f t="shared" si="19"/>
        <v>1.8657972812652588</v>
      </c>
      <c r="U18" s="51">
        <f t="shared" si="20"/>
        <v>0.2566588222980499</v>
      </c>
      <c r="V18" s="7"/>
      <c r="W18" s="27">
        <f>IF((K18-I18)&gt;(M18-K18),I18,(K18-(M18-K18)))</f>
        <v>0.1342027187347412</v>
      </c>
      <c r="X18" s="27">
        <f t="shared" si="3"/>
        <v>1.8657972812652588</v>
      </c>
      <c r="Y18" s="27">
        <f t="shared" si="4"/>
        <v>0.1342027187347412</v>
      </c>
      <c r="Z18" s="27">
        <f t="shared" si="5"/>
        <v>1.8657972812652588</v>
      </c>
      <c r="AA18" s="32" t="s">
        <v>358</v>
      </c>
      <c r="AB18" s="33" t="s">
        <v>358</v>
      </c>
      <c r="AC18" s="33">
        <v>0.5</v>
      </c>
      <c r="AD18" s="33" t="s">
        <v>358</v>
      </c>
      <c r="AE18" s="33" t="s">
        <v>358</v>
      </c>
      <c r="AF18" s="33">
        <f t="shared" si="10"/>
        <v>-999</v>
      </c>
      <c r="AG18" s="33">
        <f t="shared" si="11"/>
        <v>-999</v>
      </c>
      <c r="AH18" s="33">
        <f t="shared" si="12"/>
        <v>0.3438046195382221</v>
      </c>
      <c r="AI18" s="34">
        <v>0.5</v>
      </c>
      <c r="AJ18" s="4">
        <v>14.538000971640056</v>
      </c>
      <c r="AK18" s="32">
        <f t="shared" si="14"/>
        <v>0.3438046195382221</v>
      </c>
      <c r="AL18" s="34">
        <f t="shared" si="15"/>
        <v>-999</v>
      </c>
      <c r="AY18" s="103" t="s">
        <v>105</v>
      </c>
      <c r="AZ18" s="103" t="s">
        <v>106</v>
      </c>
      <c r="BA18" s="103" t="s">
        <v>358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0.11666666666666667</v>
      </c>
      <c r="F19" s="38">
        <f>IF(LEFT(VLOOKUP($B19,'Indicator chart'!$D$1:$J$36,6,FALSE),1)=" "," ",VLOOKUP($B19,'Indicator chart'!$D$1:$J$36,6,FALSE))</f>
        <v>0.08196205521476753</v>
      </c>
      <c r="G19" s="38">
        <f>IF(LEFT(VLOOKUP($B19,'Indicator chart'!$D$1:$J$36,7,FALSE),1)=" "," ",VLOOKUP($B19,'Indicator chart'!$D$1:$J$36,7,FALSE))</f>
        <v>0.1634497202985165</v>
      </c>
      <c r="H19" s="50">
        <f t="shared" si="0"/>
        <v>2</v>
      </c>
      <c r="I19" s="38">
        <v>0.02070442959666252</v>
      </c>
      <c r="J19" s="38">
        <v>0.08158885687589645</v>
      </c>
      <c r="K19" s="38">
        <v>0.10606060922145844</v>
      </c>
      <c r="L19" s="38">
        <v>0.1374586671590805</v>
      </c>
      <c r="M19" s="38">
        <v>0.25999999046325684</v>
      </c>
      <c r="N19" s="80">
        <f>VLOOKUP('Hide - Control'!B$3,'All practice data'!A:CA,A19+29,FALSE)</f>
        <v>0.10230597143348821</v>
      </c>
      <c r="O19" s="80">
        <f>VLOOKUP('Hide - Control'!C$3,'All practice data'!A:CA,A19+29,FALSE)</f>
        <v>0.10919341638628717</v>
      </c>
      <c r="P19" s="38">
        <f>VLOOKUP('Hide - Control'!$B$4,'All practice data'!B:BC,A19+2,FALSE)</f>
        <v>1189</v>
      </c>
      <c r="Q19" s="38">
        <f>VLOOKUP('Hide - Control'!$B$4,'All practice data'!B:BC,15,FALSE)</f>
        <v>11622</v>
      </c>
      <c r="R19" s="38">
        <f>+((2*P19+1.96^2-1.96*SQRT(1.96^2+4*P19*(1-P19/Q19)))/(2*(Q19+1.96^2)))</f>
        <v>0.09692699743211748</v>
      </c>
      <c r="S19" s="38">
        <f>+((2*P19+1.96^2+1.96*SQRT(1.96^2+4*P19*(1-P19/Q19)))/(2*(Q19+1.96^2)))</f>
        <v>0.1079477705158649</v>
      </c>
      <c r="T19" s="53">
        <f t="shared" si="19"/>
        <v>0.25999999046325684</v>
      </c>
      <c r="U19" s="51">
        <f t="shared" si="20"/>
        <v>0.02070442959666252</v>
      </c>
      <c r="V19" s="7"/>
      <c r="W19" s="27">
        <f t="shared" si="2"/>
        <v>-0.047878772020339966</v>
      </c>
      <c r="X19" s="27">
        <f t="shared" si="3"/>
        <v>0.25999999046325684</v>
      </c>
      <c r="Y19" s="27">
        <f t="shared" si="4"/>
        <v>-0.047878772020339966</v>
      </c>
      <c r="Z19" s="27">
        <f t="shared" si="5"/>
        <v>0.25999999046325684</v>
      </c>
      <c r="AA19" s="32">
        <f t="shared" si="6"/>
        <v>0.22276041732711743</v>
      </c>
      <c r="AB19" s="33">
        <f t="shared" si="7"/>
        <v>0.4205149710614879</v>
      </c>
      <c r="AC19" s="33">
        <v>0.5</v>
      </c>
      <c r="AD19" s="33">
        <f t="shared" si="8"/>
        <v>0.60198188950852</v>
      </c>
      <c r="AE19" s="33">
        <f t="shared" si="9"/>
        <v>1</v>
      </c>
      <c r="AF19" s="33">
        <f t="shared" si="10"/>
        <v>-999</v>
      </c>
      <c r="AG19" s="33">
        <f t="shared" si="11"/>
        <v>0.5344488114725786</v>
      </c>
      <c r="AH19" s="33">
        <f t="shared" si="12"/>
        <v>-999</v>
      </c>
      <c r="AI19" s="34">
        <f t="shared" si="13"/>
        <v>0.5101754571817718</v>
      </c>
      <c r="AJ19" s="4">
        <v>15.61399639702198</v>
      </c>
      <c r="AK19" s="32">
        <f t="shared" si="14"/>
        <v>-999</v>
      </c>
      <c r="AL19" s="34">
        <f t="shared" si="15"/>
        <v>-999</v>
      </c>
      <c r="AY19" s="103" t="s">
        <v>270</v>
      </c>
      <c r="AZ19" s="103" t="s">
        <v>478</v>
      </c>
      <c r="BA19" s="103" t="s">
        <v>358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66</v>
      </c>
      <c r="E20" s="38">
        <f>IF(LEFT(VLOOKUP($B20,'Indicator chart'!$D$1:$J$36,5,FALSE),1)=" "," ",VLOOKUP($B20,'Indicator chart'!$D$1:$J$36,5,FALSE))</f>
        <v>0.42424242424242425</v>
      </c>
      <c r="F20" s="38">
        <f>IF(LEFT(VLOOKUP($B20,'Indicator chart'!$D$1:$J$36,6,FALSE),1)=" "," ",VLOOKUP($B20,'Indicator chart'!$D$1:$J$36,6,FALSE))</f>
        <v>0.31242322955377905</v>
      </c>
      <c r="G20" s="38">
        <f>IF(LEFT(VLOOKUP($B20,'Indicator chart'!$D$1:$J$36,7,FALSE),1)=" "," ",VLOOKUP($B20,'Indicator chart'!$D$1:$J$36,7,FALSE))</f>
        <v>0.5443956291207072</v>
      </c>
      <c r="H20" s="50">
        <f t="shared" si="0"/>
        <v>2</v>
      </c>
      <c r="I20" s="38">
        <v>0.09238772839307785</v>
      </c>
      <c r="J20" s="38">
        <v>0.3798076808452606</v>
      </c>
      <c r="K20" s="38">
        <v>0.4375</v>
      </c>
      <c r="L20" s="38">
        <v>0.5135135054588318</v>
      </c>
      <c r="M20" s="38">
        <v>0.6969696879386902</v>
      </c>
      <c r="N20" s="80">
        <f>VLOOKUP('Hide - Control'!B$3,'All practice data'!A:CA,A20+29,FALSE)</f>
        <v>0.44800301431801054</v>
      </c>
      <c r="O20" s="80">
        <f>VLOOKUP('Hide - Control'!C$3,'All practice data'!A:CA,A20+29,FALSE)</f>
        <v>0.4534552930810221</v>
      </c>
      <c r="P20" s="38">
        <f>VLOOKUP('Hide - Control'!$B$4,'All practice data'!B:BC,A20+1,FALSE)</f>
        <v>1189</v>
      </c>
      <c r="Q20" s="38">
        <f>VLOOKUP('Hide - Control'!$B$4,'All practice data'!B:BC,A20+2,FALSE)</f>
        <v>2654</v>
      </c>
      <c r="R20" s="38">
        <f>+((2*P20+1.96^2-1.96*SQRT(1.96^2+4*P20*(1-P20/Q20)))/(2*(Q20+1.96^2)))</f>
        <v>0.4291719904085045</v>
      </c>
      <c r="S20" s="38">
        <f>+((2*P20+1.96^2+1.96*SQRT(1.96^2+4*P20*(1-P20/Q20)))/(2*(Q20+1.96^2)))</f>
        <v>0.4669843493823995</v>
      </c>
      <c r="T20" s="53">
        <f t="shared" si="19"/>
        <v>0.6969696879386902</v>
      </c>
      <c r="U20" s="51">
        <f t="shared" si="20"/>
        <v>0.09238772839307785</v>
      </c>
      <c r="V20" s="7"/>
      <c r="W20" s="27">
        <f t="shared" si="2"/>
        <v>0.09238772839307785</v>
      </c>
      <c r="X20" s="27">
        <f t="shared" si="3"/>
        <v>0.7826122716069221</v>
      </c>
      <c r="Y20" s="27">
        <f t="shared" si="4"/>
        <v>0.09238772839307785</v>
      </c>
      <c r="Z20" s="27">
        <f t="shared" si="5"/>
        <v>0.7826122716069221</v>
      </c>
      <c r="AA20" s="32">
        <f t="shared" si="6"/>
        <v>0</v>
      </c>
      <c r="AB20" s="33">
        <f t="shared" si="7"/>
        <v>0.41641514385143324</v>
      </c>
      <c r="AC20" s="33">
        <v>0.5</v>
      </c>
      <c r="AD20" s="33">
        <f t="shared" si="8"/>
        <v>0.6101286620508963</v>
      </c>
      <c r="AE20" s="33">
        <f t="shared" si="9"/>
        <v>0.8759206920265971</v>
      </c>
      <c r="AF20" s="33">
        <f t="shared" si="10"/>
        <v>-999</v>
      </c>
      <c r="AG20" s="33">
        <f t="shared" si="11"/>
        <v>0.4807923727315673</v>
      </c>
      <c r="AH20" s="33">
        <f t="shared" si="12"/>
        <v>-999</v>
      </c>
      <c r="AI20" s="34">
        <f t="shared" si="13"/>
        <v>0.5231160906083266</v>
      </c>
      <c r="AJ20" s="4">
        <v>16.689991822403904</v>
      </c>
      <c r="AK20" s="32">
        <f t="shared" si="14"/>
        <v>-999</v>
      </c>
      <c r="AL20" s="34">
        <f t="shared" si="15"/>
        <v>-999</v>
      </c>
      <c r="AY20" s="103" t="s">
        <v>211</v>
      </c>
      <c r="AZ20" s="103" t="s">
        <v>459</v>
      </c>
      <c r="BA20" s="103" t="s">
        <v>358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281.44055871162766</v>
      </c>
      <c r="F21" s="38">
        <f>IF(LEFT(VLOOKUP($B21,'Indicator chart'!$D$1:$J$36,6,FALSE),1)=" "," ",VLOOKUP($B21,'Indicator chart'!$D$1:$J$36,6,FALSE))</f>
        <v>211.4114341135155</v>
      </c>
      <c r="G21" s="38">
        <f>IF(LEFT(VLOOKUP($B21,'Indicator chart'!$D$1:$J$36,7,FALSE),1)=" "," ",VLOOKUP($B21,'Indicator chart'!$D$1:$J$36,7,FALSE))</f>
        <v>367.22763914705905</v>
      </c>
      <c r="H21" s="50">
        <f t="shared" si="0"/>
        <v>1</v>
      </c>
      <c r="I21" s="38">
        <v>61.46357345581055</v>
      </c>
      <c r="J21" s="38">
        <v>282.86279296875</v>
      </c>
      <c r="K21" s="38">
        <v>402.5863037109375</v>
      </c>
      <c r="L21" s="38">
        <v>526.5204467773438</v>
      </c>
      <c r="M21" s="38">
        <v>889.3280639648438</v>
      </c>
      <c r="N21" s="80">
        <f>VLOOKUP('Hide - Control'!B$3,'All practice data'!A:CA,A21+29,FALSE)</f>
        <v>431.56368572045534</v>
      </c>
      <c r="O21" s="80">
        <f>VLOOKUP('Hide - Control'!C$3,'All practice data'!A:CA,A21+29,FALSE)</f>
        <v>377.7293140102421</v>
      </c>
      <c r="P21" s="38">
        <f>VLOOKUP('Hide - Control'!$B$4,'All practice data'!B:BC,A21+2,FALSE)</f>
        <v>2798</v>
      </c>
      <c r="Q21" s="38">
        <f>VLOOKUP('Hide - Control'!$B$4,'All practice data'!B:BC,3,FALSE)</f>
        <v>648340</v>
      </c>
      <c r="R21" s="38">
        <f aca="true" t="shared" si="21" ref="R21:R27">100000*(P21*(1-1/(9*P21)-1.96/(3*SQRT(P21)))^3)/Q21</f>
        <v>415.7191782194659</v>
      </c>
      <c r="S21" s="38">
        <f aca="true" t="shared" si="22" ref="S21:S27">100000*((P21+1)*(1-1/(9*(P21+1))+1.96/(3*SQRT(P21+1)))^3)/Q21</f>
        <v>447.857471460621</v>
      </c>
      <c r="T21" s="53">
        <f t="shared" si="19"/>
        <v>889.3280639648438</v>
      </c>
      <c r="U21" s="51">
        <f t="shared" si="20"/>
        <v>61.46357345581055</v>
      </c>
      <c r="V21" s="7"/>
      <c r="W21" s="27">
        <f t="shared" si="2"/>
        <v>-84.15545654296875</v>
      </c>
      <c r="X21" s="27">
        <f t="shared" si="3"/>
        <v>889.3280639648438</v>
      </c>
      <c r="Y21" s="27">
        <f t="shared" si="4"/>
        <v>-84.15545654296875</v>
      </c>
      <c r="Z21" s="27">
        <f t="shared" si="5"/>
        <v>889.3280639648438</v>
      </c>
      <c r="AA21" s="32">
        <f t="shared" si="6"/>
        <v>0.14958551113717664</v>
      </c>
      <c r="AB21" s="33">
        <f t="shared" si="7"/>
        <v>0.3770153698341659</v>
      </c>
      <c r="AC21" s="33">
        <v>0.5</v>
      </c>
      <c r="AD21" s="33">
        <f t="shared" si="8"/>
        <v>0.6273099548739732</v>
      </c>
      <c r="AE21" s="33">
        <f t="shared" si="9"/>
        <v>1</v>
      </c>
      <c r="AF21" s="33">
        <f t="shared" si="10"/>
        <v>-999</v>
      </c>
      <c r="AG21" s="33">
        <f t="shared" si="11"/>
        <v>-999</v>
      </c>
      <c r="AH21" s="33">
        <f t="shared" si="12"/>
        <v>0.37555439568600524</v>
      </c>
      <c r="AI21" s="34">
        <f t="shared" si="13"/>
        <v>0.47446593683709315</v>
      </c>
      <c r="AJ21" s="4">
        <v>17.765987247785823</v>
      </c>
      <c r="AK21" s="32">
        <f t="shared" si="14"/>
        <v>0.37555439568600524</v>
      </c>
      <c r="AL21" s="34">
        <f t="shared" si="15"/>
        <v>-999</v>
      </c>
      <c r="AY21" s="103" t="s">
        <v>123</v>
      </c>
      <c r="AZ21" s="103" t="s">
        <v>433</v>
      </c>
      <c r="BA21" s="103" t="s">
        <v>358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39</v>
      </c>
      <c r="E22" s="38">
        <f>IF(LEFT(VLOOKUP($B22,'Indicator chart'!$D$1:$J$36,5,FALSE),1)=" "," ",VLOOKUP($B22,'Indicator chart'!$D$1:$J$36,5,FALSE))</f>
        <v>203.26262573617552</v>
      </c>
      <c r="F22" s="38">
        <f>IF(LEFT(VLOOKUP($B22,'Indicator chart'!$D$1:$J$36,6,FALSE),1)=" "," ",VLOOKUP($B22,'Indicator chart'!$D$1:$J$36,6,FALSE))</f>
        <v>144.52126226229024</v>
      </c>
      <c r="G22" s="38">
        <f>IF(LEFT(VLOOKUP($B22,'Indicator chart'!$D$1:$J$36,7,FALSE),1)=" "," ",VLOOKUP($B22,'Indicator chart'!$D$1:$J$36,7,FALSE))</f>
        <v>277.8757399089394</v>
      </c>
      <c r="H22" s="50">
        <f t="shared" si="0"/>
        <v>1</v>
      </c>
      <c r="I22" s="38">
        <v>18.07059669494629</v>
      </c>
      <c r="J22" s="38">
        <v>164.1446075439453</v>
      </c>
      <c r="K22" s="38">
        <v>252.15380859375</v>
      </c>
      <c r="L22" s="38">
        <v>327.775634765625</v>
      </c>
      <c r="M22" s="38">
        <v>904.27880859375</v>
      </c>
      <c r="N22" s="80">
        <f>VLOOKUP('Hide - Control'!B$3,'All practice data'!A:CA,A22+29,FALSE)</f>
        <v>285.9610698090508</v>
      </c>
      <c r="O22" s="80">
        <f>VLOOKUP('Hide - Control'!C$3,'All practice data'!A:CA,A22+29,FALSE)</f>
        <v>282.45290788403287</v>
      </c>
      <c r="P22" s="38">
        <f>VLOOKUP('Hide - Control'!$B$4,'All practice data'!B:BC,A22+2,FALSE)</f>
        <v>1854</v>
      </c>
      <c r="Q22" s="38">
        <f>VLOOKUP('Hide - Control'!$B$4,'All practice data'!B:BC,3,FALSE)</f>
        <v>648340</v>
      </c>
      <c r="R22" s="38">
        <f t="shared" si="21"/>
        <v>273.0908019355533</v>
      </c>
      <c r="S22" s="38">
        <f t="shared" si="22"/>
        <v>299.28126277665797</v>
      </c>
      <c r="T22" s="53">
        <f t="shared" si="19"/>
        <v>904.27880859375</v>
      </c>
      <c r="U22" s="51">
        <f t="shared" si="20"/>
        <v>18.07059669494629</v>
      </c>
      <c r="V22" s="7"/>
      <c r="W22" s="27">
        <f t="shared" si="2"/>
        <v>-399.97119140625</v>
      </c>
      <c r="X22" s="27">
        <f t="shared" si="3"/>
        <v>904.27880859375</v>
      </c>
      <c r="Y22" s="27">
        <f t="shared" si="4"/>
        <v>-399.97119140625</v>
      </c>
      <c r="Z22" s="27">
        <f t="shared" si="5"/>
        <v>904.27880859375</v>
      </c>
      <c r="AA22" s="32">
        <f t="shared" si="6"/>
        <v>0.3205227434166734</v>
      </c>
      <c r="AB22" s="33">
        <f t="shared" si="7"/>
        <v>0.43252121828652124</v>
      </c>
      <c r="AC22" s="33">
        <v>0.5</v>
      </c>
      <c r="AD22" s="33">
        <f t="shared" si="8"/>
        <v>0.557981081979586</v>
      </c>
      <c r="AE22" s="33">
        <f t="shared" si="9"/>
        <v>1</v>
      </c>
      <c r="AF22" s="33">
        <f t="shared" si="10"/>
        <v>-999</v>
      </c>
      <c r="AG22" s="33">
        <f t="shared" si="11"/>
        <v>-999</v>
      </c>
      <c r="AH22" s="33">
        <f t="shared" si="12"/>
        <v>0.46251394835531956</v>
      </c>
      <c r="AI22" s="34">
        <f t="shared" si="13"/>
        <v>0.5232310517847674</v>
      </c>
      <c r="AJ22" s="4">
        <v>18.841982673167745</v>
      </c>
      <c r="AK22" s="32">
        <f t="shared" si="14"/>
        <v>0.46251394835531956</v>
      </c>
      <c r="AL22" s="34">
        <f t="shared" si="15"/>
        <v>-999</v>
      </c>
      <c r="AY22" s="103" t="s">
        <v>149</v>
      </c>
      <c r="AZ22" s="103" t="s">
        <v>443</v>
      </c>
      <c r="BA22" s="103" t="s">
        <v>358</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46.90675978527128</v>
      </c>
      <c r="F23" s="38">
        <f>IF(LEFT(VLOOKUP($B23,'Indicator chart'!$D$1:$J$36,6,FALSE),1)=" "," ",VLOOKUP($B23,'Indicator chart'!$D$1:$J$36,6,FALSE))</f>
        <v>21.404185039465048</v>
      </c>
      <c r="G23" s="38">
        <f>IF(LEFT(VLOOKUP($B23,'Indicator chart'!$D$1:$J$36,7,FALSE),1)=" "," ",VLOOKUP($B23,'Indicator chart'!$D$1:$J$36,7,FALSE))</f>
        <v>89.04958284638172</v>
      </c>
      <c r="H23" s="50">
        <f t="shared" si="0"/>
        <v>2</v>
      </c>
      <c r="I23" s="38">
        <v>3.248678207397461</v>
      </c>
      <c r="J23" s="38">
        <v>36.658843994140625</v>
      </c>
      <c r="K23" s="38">
        <v>52.126773834228516</v>
      </c>
      <c r="L23" s="38">
        <v>71.38897705078125</v>
      </c>
      <c r="M23" s="38">
        <v>191.34178161621094</v>
      </c>
      <c r="N23" s="80">
        <f>VLOOKUP('Hide - Control'!B$3,'All practice data'!A:CA,A23+29,FALSE)</f>
        <v>59.8451429805349</v>
      </c>
      <c r="O23" s="80">
        <f>VLOOKUP('Hide - Control'!C$3,'All practice data'!A:CA,A23+29,FALSE)</f>
        <v>70.46674929228394</v>
      </c>
      <c r="P23" s="38">
        <f>VLOOKUP('Hide - Control'!$B$4,'All practice data'!B:BC,A23+2,FALSE)</f>
        <v>388</v>
      </c>
      <c r="Q23" s="38">
        <f>VLOOKUP('Hide - Control'!$B$4,'All practice data'!B:BC,3,FALSE)</f>
        <v>648340</v>
      </c>
      <c r="R23" s="38">
        <f t="shared" si="21"/>
        <v>54.037597157447244</v>
      </c>
      <c r="S23" s="38">
        <f t="shared" si="22"/>
        <v>66.10670804463928</v>
      </c>
      <c r="T23" s="53">
        <f t="shared" si="19"/>
        <v>191.34178161621094</v>
      </c>
      <c r="U23" s="51">
        <f t="shared" si="20"/>
        <v>3.248678207397461</v>
      </c>
      <c r="V23" s="7"/>
      <c r="W23" s="27">
        <f t="shared" si="2"/>
        <v>-87.0882339477539</v>
      </c>
      <c r="X23" s="27">
        <f t="shared" si="3"/>
        <v>191.34178161621094</v>
      </c>
      <c r="Y23" s="27">
        <f t="shared" si="4"/>
        <v>-87.0882339477539</v>
      </c>
      <c r="Z23" s="27">
        <f t="shared" si="5"/>
        <v>191.34178161621094</v>
      </c>
      <c r="AA23" s="32">
        <f t="shared" si="6"/>
        <v>0.32445105450348943</v>
      </c>
      <c r="AB23" s="33">
        <f t="shared" si="7"/>
        <v>0.44444589672288987</v>
      </c>
      <c r="AC23" s="33">
        <v>0.5</v>
      </c>
      <c r="AD23" s="33">
        <f t="shared" si="8"/>
        <v>0.5691814895658315</v>
      </c>
      <c r="AE23" s="33">
        <f t="shared" si="9"/>
        <v>1</v>
      </c>
      <c r="AF23" s="33">
        <f t="shared" si="10"/>
        <v>-999</v>
      </c>
      <c r="AG23" s="33">
        <f t="shared" si="11"/>
        <v>0.48125197084666316</v>
      </c>
      <c r="AH23" s="33">
        <f t="shared" si="12"/>
        <v>-999</v>
      </c>
      <c r="AI23" s="34">
        <f t="shared" si="13"/>
        <v>0.5658692469664504</v>
      </c>
      <c r="AJ23" s="4">
        <v>19.917978098549675</v>
      </c>
      <c r="AK23" s="32">
        <f t="shared" si="14"/>
        <v>-999</v>
      </c>
      <c r="AL23" s="34">
        <f t="shared" si="15"/>
        <v>-999</v>
      </c>
      <c r="AY23" s="103" t="s">
        <v>264</v>
      </c>
      <c r="AZ23" s="103" t="s">
        <v>265</v>
      </c>
      <c r="BA23" s="103" t="s">
        <v>358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213.68635013290248</v>
      </c>
      <c r="F24" s="38">
        <f>IF(LEFT(VLOOKUP($B24,'Indicator chart'!$D$1:$J$36,6,FALSE),1)=" "," ",VLOOKUP($B24,'Indicator chart'!$D$1:$J$36,6,FALSE))</f>
        <v>153.32718234377575</v>
      </c>
      <c r="G24" s="38">
        <f>IF(LEFT(VLOOKUP($B24,'Indicator chart'!$D$1:$J$36,7,FALSE),1)=" "," ",VLOOKUP($B24,'Indicator chart'!$D$1:$J$36,7,FALSE))</f>
        <v>289.89866694619093</v>
      </c>
      <c r="H24" s="50">
        <f t="shared" si="0"/>
        <v>2</v>
      </c>
      <c r="I24" s="38">
        <v>27.3076171875</v>
      </c>
      <c r="J24" s="38">
        <v>164.0072021484375</v>
      </c>
      <c r="K24" s="38">
        <v>230.0613555908203</v>
      </c>
      <c r="L24" s="38">
        <v>332.140625</v>
      </c>
      <c r="M24" s="38">
        <v>973.1834106445312</v>
      </c>
      <c r="N24" s="80">
        <f>VLOOKUP('Hide - Control'!B$3,'All practice data'!A:CA,A24+29,FALSE)</f>
        <v>269.6116235308634</v>
      </c>
      <c r="O24" s="80">
        <f>VLOOKUP('Hide - Control'!C$3,'All practice data'!A:CA,A24+29,FALSE)</f>
        <v>323.23046266988894</v>
      </c>
      <c r="P24" s="38">
        <f>VLOOKUP('Hide - Control'!$B$4,'All practice data'!B:BC,A24+2,FALSE)</f>
        <v>1748</v>
      </c>
      <c r="Q24" s="38">
        <f>VLOOKUP('Hide - Control'!$B$4,'All practice data'!B:BC,3,FALSE)</f>
        <v>648340</v>
      </c>
      <c r="R24" s="38">
        <f t="shared" si="21"/>
        <v>257.1189608566289</v>
      </c>
      <c r="S24" s="38">
        <f t="shared" si="22"/>
        <v>282.55431508117067</v>
      </c>
      <c r="T24" s="53">
        <f t="shared" si="19"/>
        <v>973.1834106445312</v>
      </c>
      <c r="U24" s="51">
        <f t="shared" si="20"/>
        <v>27.3076171875</v>
      </c>
      <c r="V24" s="7"/>
      <c r="W24" s="27">
        <f t="shared" si="2"/>
        <v>-513.0606994628906</v>
      </c>
      <c r="X24" s="27">
        <f t="shared" si="3"/>
        <v>973.1834106445312</v>
      </c>
      <c r="Y24" s="27">
        <f t="shared" si="4"/>
        <v>-513.0606994628906</v>
      </c>
      <c r="Z24" s="27">
        <f t="shared" si="5"/>
        <v>973.1834106445312</v>
      </c>
      <c r="AA24" s="32">
        <f t="shared" si="6"/>
        <v>0.36357978677630165</v>
      </c>
      <c r="AB24" s="33">
        <f t="shared" si="7"/>
        <v>0.4555563228185923</v>
      </c>
      <c r="AC24" s="33">
        <v>0.5</v>
      </c>
      <c r="AD24" s="33">
        <f t="shared" si="8"/>
        <v>0.5686827074468955</v>
      </c>
      <c r="AE24" s="33">
        <f t="shared" si="9"/>
        <v>1</v>
      </c>
      <c r="AF24" s="33">
        <f t="shared" si="10"/>
        <v>-999</v>
      </c>
      <c r="AG24" s="33">
        <f t="shared" si="11"/>
        <v>0.48898229076464816</v>
      </c>
      <c r="AH24" s="33">
        <f t="shared" si="12"/>
        <v>-999</v>
      </c>
      <c r="AI24" s="34">
        <f t="shared" si="13"/>
        <v>0.5626876207249256</v>
      </c>
      <c r="AJ24" s="4">
        <v>20.99397352393159</v>
      </c>
      <c r="AK24" s="32">
        <f t="shared" si="14"/>
        <v>-999</v>
      </c>
      <c r="AL24" s="34">
        <f t="shared" si="15"/>
        <v>-999</v>
      </c>
      <c r="AY24" s="103" t="s">
        <v>65</v>
      </c>
      <c r="AZ24" s="103" t="s">
        <v>66</v>
      </c>
      <c r="BA24" s="103" t="s">
        <v>539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90</v>
      </c>
      <c r="E25" s="38">
        <f>IF(LEFT(VLOOKUP($B25,'Indicator chart'!$D$1:$J$36,5,FALSE),1)=" "," ",VLOOKUP($B25,'Indicator chart'!$D$1:$J$36,5,FALSE))</f>
        <v>469.06759785271277</v>
      </c>
      <c r="F25" s="38">
        <f>IF(LEFT(VLOOKUP($B25,'Indicator chart'!$D$1:$J$36,6,FALSE),1)=" "," ",VLOOKUP($B25,'Indicator chart'!$D$1:$J$36,6,FALSE))</f>
        <v>377.17373947883823</v>
      </c>
      <c r="G25" s="38">
        <f>IF(LEFT(VLOOKUP($B25,'Indicator chart'!$D$1:$J$36,7,FALSE),1)=" "," ",VLOOKUP($B25,'Indicator chart'!$D$1:$J$36,7,FALSE))</f>
        <v>576.5719215811814</v>
      </c>
      <c r="H25" s="50">
        <f t="shared" si="0"/>
        <v>2</v>
      </c>
      <c r="I25" s="38">
        <v>158.64622497558594</v>
      </c>
      <c r="J25" s="38">
        <v>324.0832214355469</v>
      </c>
      <c r="K25" s="38">
        <v>440.04400634765625</v>
      </c>
      <c r="L25" s="38">
        <v>551.7844848632812</v>
      </c>
      <c r="M25" s="38">
        <v>886.67822265625</v>
      </c>
      <c r="N25" s="80">
        <f>VLOOKUP('Hide - Control'!B$3,'All practice data'!A:CA,A25+29,FALSE)</f>
        <v>441.5892895702872</v>
      </c>
      <c r="O25" s="80">
        <f>VLOOKUP('Hide - Control'!C$3,'All practice data'!A:CA,A25+29,FALSE)</f>
        <v>562.6134400960308</v>
      </c>
      <c r="P25" s="38">
        <f>VLOOKUP('Hide - Control'!$B$4,'All practice data'!B:BC,A25+2,FALSE)</f>
        <v>2863</v>
      </c>
      <c r="Q25" s="38">
        <f>VLOOKUP('Hide - Control'!$B$4,'All practice data'!B:BC,3,FALSE)</f>
        <v>648340</v>
      </c>
      <c r="R25" s="38">
        <f t="shared" si="21"/>
        <v>425.56010024836866</v>
      </c>
      <c r="S25" s="38">
        <f t="shared" si="22"/>
        <v>458.0677247758194</v>
      </c>
      <c r="T25" s="53">
        <f t="shared" si="19"/>
        <v>886.67822265625</v>
      </c>
      <c r="U25" s="51">
        <f t="shared" si="20"/>
        <v>158.64622497558594</v>
      </c>
      <c r="V25" s="7"/>
      <c r="W25" s="27">
        <f t="shared" si="2"/>
        <v>-6.5902099609375</v>
      </c>
      <c r="X25" s="27">
        <f t="shared" si="3"/>
        <v>886.67822265625</v>
      </c>
      <c r="Y25" s="27">
        <f t="shared" si="4"/>
        <v>-6.5902099609375</v>
      </c>
      <c r="Z25" s="27">
        <f t="shared" si="5"/>
        <v>886.67822265625</v>
      </c>
      <c r="AA25" s="32">
        <f t="shared" si="6"/>
        <v>0.18497959728902225</v>
      </c>
      <c r="AB25" s="33">
        <f t="shared" si="7"/>
        <v>0.37018372005786004</v>
      </c>
      <c r="AC25" s="33">
        <v>0.5</v>
      </c>
      <c r="AD25" s="33">
        <f t="shared" si="8"/>
        <v>0.6250917131239447</v>
      </c>
      <c r="AE25" s="33">
        <f t="shared" si="9"/>
        <v>1</v>
      </c>
      <c r="AF25" s="33">
        <f t="shared" si="10"/>
        <v>-999</v>
      </c>
      <c r="AG25" s="33">
        <f t="shared" si="11"/>
        <v>0.5324914554743867</v>
      </c>
      <c r="AH25" s="33">
        <f t="shared" si="12"/>
        <v>-999</v>
      </c>
      <c r="AI25" s="34">
        <f t="shared" si="13"/>
        <v>0.6372145586621238</v>
      </c>
      <c r="AJ25" s="4">
        <v>22.06996894931352</v>
      </c>
      <c r="AK25" s="32">
        <f t="shared" si="14"/>
        <v>-999</v>
      </c>
      <c r="AL25" s="34">
        <f t="shared" si="15"/>
        <v>-999</v>
      </c>
      <c r="AY25" s="103" t="s">
        <v>257</v>
      </c>
      <c r="AZ25" s="103" t="s">
        <v>258</v>
      </c>
      <c r="BA25" s="103" t="s">
        <v>539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63</v>
      </c>
      <c r="E26" s="38">
        <f>IF(LEFT(VLOOKUP($B26,'Indicator chart'!$D$1:$J$36,5,FALSE),1)=" "," ",VLOOKUP($B26,'Indicator chart'!$D$1:$J$36,5,FALSE))</f>
        <v>328.34731849689894</v>
      </c>
      <c r="F26" s="38">
        <f>IF(LEFT(VLOOKUP($B26,'Indicator chart'!$D$1:$J$36,6,FALSE),1)=" "," ",VLOOKUP($B26,'Indicator chart'!$D$1:$J$36,6,FALSE))</f>
        <v>252.29688496329365</v>
      </c>
      <c r="G26" s="38">
        <f>IF(LEFT(VLOOKUP($B26,'Indicator chart'!$D$1:$J$36,7,FALSE),1)=" "," ",VLOOKUP($B26,'Indicator chart'!$D$1:$J$36,7,FALSE))</f>
        <v>420.1074529628318</v>
      </c>
      <c r="H26" s="50">
        <f t="shared" si="0"/>
        <v>1</v>
      </c>
      <c r="I26" s="38">
        <v>125.80876922607422</v>
      </c>
      <c r="J26" s="38">
        <v>338.2859802246094</v>
      </c>
      <c r="K26" s="38">
        <v>460.6224060058594</v>
      </c>
      <c r="L26" s="38">
        <v>613.0451049804688</v>
      </c>
      <c r="M26" s="38">
        <v>1086.03271484375</v>
      </c>
      <c r="N26" s="80">
        <f>VLOOKUP('Hide - Control'!B$3,'All practice data'!A:CA,A26+29,FALSE)</f>
        <v>517.0126785328686</v>
      </c>
      <c r="O26" s="80">
        <f>VLOOKUP('Hide - Control'!C$3,'All practice data'!A:CA,A26+29,FALSE)</f>
        <v>405.57105879375996</v>
      </c>
      <c r="P26" s="38">
        <f>VLOOKUP('Hide - Control'!$B$4,'All practice data'!B:BC,A26+2,FALSE)</f>
        <v>3352</v>
      </c>
      <c r="Q26" s="38">
        <f>VLOOKUP('Hide - Control'!$B$4,'All practice data'!B:BC,3,FALSE)</f>
        <v>648340</v>
      </c>
      <c r="R26" s="38">
        <f t="shared" si="21"/>
        <v>499.6564787793057</v>
      </c>
      <c r="S26" s="38">
        <f t="shared" si="22"/>
        <v>534.8179116831859</v>
      </c>
      <c r="T26" s="53">
        <f t="shared" si="19"/>
        <v>1086.03271484375</v>
      </c>
      <c r="U26" s="51">
        <f t="shared" si="20"/>
        <v>125.80876922607422</v>
      </c>
      <c r="V26" s="7"/>
      <c r="W26" s="27">
        <f t="shared" si="2"/>
        <v>-164.78790283203125</v>
      </c>
      <c r="X26" s="27">
        <f t="shared" si="3"/>
        <v>1086.03271484375</v>
      </c>
      <c r="Y26" s="27">
        <f t="shared" si="4"/>
        <v>-164.78790283203125</v>
      </c>
      <c r="Z26" s="27">
        <f t="shared" si="5"/>
        <v>1086.03271484375</v>
      </c>
      <c r="AA26" s="32">
        <f t="shared" si="6"/>
        <v>0.23232481776489994</v>
      </c>
      <c r="AB26" s="33">
        <f t="shared" si="7"/>
        <v>0.40219506773995295</v>
      </c>
      <c r="AC26" s="33">
        <v>0.5</v>
      </c>
      <c r="AD26" s="33">
        <f t="shared" si="8"/>
        <v>0.6218581600116525</v>
      </c>
      <c r="AE26" s="33">
        <f t="shared" si="9"/>
        <v>1</v>
      </c>
      <c r="AF26" s="33">
        <f t="shared" si="10"/>
        <v>-999</v>
      </c>
      <c r="AG26" s="33">
        <f t="shared" si="11"/>
        <v>-999</v>
      </c>
      <c r="AH26" s="33">
        <f t="shared" si="12"/>
        <v>0.3942493546718569</v>
      </c>
      <c r="AI26" s="34">
        <f t="shared" si="13"/>
        <v>0.45598781597125143</v>
      </c>
      <c r="AJ26" s="4">
        <v>23.145964374695435</v>
      </c>
      <c r="AK26" s="32">
        <f t="shared" si="14"/>
        <v>0.3942493546718569</v>
      </c>
      <c r="AL26" s="34">
        <f t="shared" si="15"/>
        <v>-999</v>
      </c>
      <c r="AY26" s="103" t="s">
        <v>120</v>
      </c>
      <c r="AZ26" s="103" t="s">
        <v>432</v>
      </c>
      <c r="BA26" s="103" t="s">
        <v>358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158</v>
      </c>
      <c r="E27" s="38">
        <f>IF(LEFT(VLOOKUP($B27,'Indicator chart'!$D$1:$J$36,5,FALSE),1)=" "," ",VLOOKUP($B27,'Indicator chart'!$D$1:$J$36,5,FALSE))</f>
        <v>823.4742273414291</v>
      </c>
      <c r="F27" s="38">
        <f>IF(LEFT(VLOOKUP($B27,'Indicator chart'!$D$1:$J$36,6,FALSE),1)=" "," ",VLOOKUP($B27,'Indicator chart'!$D$1:$J$36,6,FALSE))</f>
        <v>700.0686338599527</v>
      </c>
      <c r="G27" s="38">
        <f>IF(LEFT(VLOOKUP($B27,'Indicator chart'!$D$1:$J$36,7,FALSE),1)=" "," ",VLOOKUP($B27,'Indicator chart'!$D$1:$J$36,7,FALSE))</f>
        <v>962.3640166764582</v>
      </c>
      <c r="H27" s="50">
        <f t="shared" si="0"/>
        <v>2</v>
      </c>
      <c r="I27" s="38">
        <v>305.53558349609375</v>
      </c>
      <c r="J27" s="38">
        <v>707.6618041992188</v>
      </c>
      <c r="K27" s="38">
        <v>794.4150390625</v>
      </c>
      <c r="L27" s="38">
        <v>940.3676147460938</v>
      </c>
      <c r="M27" s="38">
        <v>1319.2041015625</v>
      </c>
      <c r="N27" s="80">
        <f>VLOOKUP('Hide - Control'!B$3,'All practice data'!A:CA,A27+29,FALSE)</f>
        <v>818.0892741462812</v>
      </c>
      <c r="O27" s="80">
        <f>VLOOKUP('Hide - Control'!C$3,'All practice data'!A:CA,A27+29,FALSE)</f>
        <v>1059.3522061277838</v>
      </c>
      <c r="P27" s="38">
        <f>VLOOKUP('Hide - Control'!$B$4,'All practice data'!B:BC,A27+2,FALSE)</f>
        <v>5304</v>
      </c>
      <c r="Q27" s="38">
        <f>VLOOKUP('Hide - Control'!$B$4,'All practice data'!B:BC,3,FALSE)</f>
        <v>648340</v>
      </c>
      <c r="R27" s="38">
        <f t="shared" si="21"/>
        <v>796.2188577730927</v>
      </c>
      <c r="S27" s="38">
        <f t="shared" si="22"/>
        <v>840.4081922540031</v>
      </c>
      <c r="T27" s="53">
        <f t="shared" si="19"/>
        <v>1319.2041015625</v>
      </c>
      <c r="U27" s="51">
        <f t="shared" si="20"/>
        <v>305.53558349609375</v>
      </c>
      <c r="V27" s="7"/>
      <c r="W27" s="27">
        <f t="shared" si="2"/>
        <v>269.6259765625</v>
      </c>
      <c r="X27" s="27">
        <f t="shared" si="3"/>
        <v>1319.2041015625</v>
      </c>
      <c r="Y27" s="27">
        <f t="shared" si="4"/>
        <v>269.6259765625</v>
      </c>
      <c r="Z27" s="27">
        <f t="shared" si="5"/>
        <v>1319.2041015625</v>
      </c>
      <c r="AA27" s="32">
        <f t="shared" si="6"/>
        <v>0.03421337209518705</v>
      </c>
      <c r="AB27" s="33">
        <f t="shared" si="7"/>
        <v>0.4173446618246915</v>
      </c>
      <c r="AC27" s="33">
        <v>0.5</v>
      </c>
      <c r="AD27" s="33">
        <f t="shared" si="8"/>
        <v>0.6390583246803031</v>
      </c>
      <c r="AE27" s="33">
        <f t="shared" si="9"/>
        <v>1</v>
      </c>
      <c r="AF27" s="33">
        <f t="shared" si="10"/>
        <v>-999</v>
      </c>
      <c r="AG27" s="33">
        <f t="shared" si="11"/>
        <v>0.5276865414653427</v>
      </c>
      <c r="AH27" s="33">
        <f t="shared" si="12"/>
        <v>-999</v>
      </c>
      <c r="AI27" s="34">
        <f t="shared" si="13"/>
        <v>0.7524225312577697</v>
      </c>
      <c r="AJ27" s="4">
        <v>24.221959800077364</v>
      </c>
      <c r="AK27" s="32">
        <f t="shared" si="14"/>
        <v>-999</v>
      </c>
      <c r="AL27" s="34">
        <f t="shared" si="15"/>
        <v>-999</v>
      </c>
      <c r="AY27" s="103" t="s">
        <v>115</v>
      </c>
      <c r="AZ27" s="103" t="s">
        <v>431</v>
      </c>
      <c r="BA27" s="103" t="s">
        <v>539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59</v>
      </c>
      <c r="E28" s="38">
        <f>IF(LEFT(VLOOKUP($B28,'Indicator chart'!$D$1:$J$36,5,FALSE),1)=" "," ",VLOOKUP($B28,'Indicator chart'!$D$1:$J$36,5,FALSE))</f>
        <v>307.49986970344503</v>
      </c>
      <c r="F28" s="38">
        <f>IF(LEFT(VLOOKUP($B28,'Indicator chart'!$D$1:$J$36,6,FALSE),1)=" "," ",VLOOKUP($B28,'Indicator chart'!$D$1:$J$36,6,FALSE))</f>
        <v>234.06845907092665</v>
      </c>
      <c r="G28" s="38">
        <f>IF(LEFT(VLOOKUP($B28,'Indicator chart'!$D$1:$J$36,7,FALSE),1)=" "," ",VLOOKUP($B28,'Indicator chart'!$D$1:$J$36,7,FALSE))</f>
        <v>396.66109620327035</v>
      </c>
      <c r="H28" s="50">
        <f t="shared" si="0"/>
        <v>1</v>
      </c>
      <c r="I28" s="38">
        <v>155.9251708984375</v>
      </c>
      <c r="J28" s="38">
        <v>383.9916687011719</v>
      </c>
      <c r="K28" s="38">
        <v>480.9542236328125</v>
      </c>
      <c r="L28" s="38">
        <v>581.9180908203125</v>
      </c>
      <c r="M28" s="38">
        <v>972.8414916992188</v>
      </c>
      <c r="N28" s="80">
        <f>VLOOKUP('Hide - Control'!B$3,'All practice data'!A:CA,A28+29,FALSE)</f>
        <v>479.37810408119196</v>
      </c>
      <c r="O28" s="80">
        <f>VLOOKUP('Hide - Control'!C$3,'All practice data'!A:CA,A28+29,FALSE)</f>
        <v>582.9390489900089</v>
      </c>
      <c r="P28" s="38">
        <f>VLOOKUP('Hide - Control'!$B$4,'All practice data'!B:BC,A28+2,FALSE)</f>
        <v>3108</v>
      </c>
      <c r="Q28" s="38">
        <f>VLOOKUP('Hide - Control'!$B$4,'All practice data'!B:BC,3,FALSE)</f>
        <v>648340</v>
      </c>
      <c r="R28" s="38">
        <f>100000*(P28*(1-1/(9*P28)-1.96/(3*SQRT(P28)))^3)/Q28</f>
        <v>462.6709866981738</v>
      </c>
      <c r="S28" s="38">
        <f>100000*((P28+1)*(1-1/(9*(P28+1))+1.96/(3*SQRT(P28+1)))^3)/Q28</f>
        <v>496.5343546313797</v>
      </c>
      <c r="T28" s="53">
        <f t="shared" si="19"/>
        <v>972.8414916992188</v>
      </c>
      <c r="U28" s="51">
        <f t="shared" si="20"/>
        <v>155.9251708984375</v>
      </c>
      <c r="V28" s="7"/>
      <c r="W28" s="27">
        <f t="shared" si="2"/>
        <v>-10.93304443359375</v>
      </c>
      <c r="X28" s="27">
        <f t="shared" si="3"/>
        <v>972.8414916992188</v>
      </c>
      <c r="Y28" s="27">
        <f t="shared" si="4"/>
        <v>-10.93304443359375</v>
      </c>
      <c r="Z28" s="27">
        <f t="shared" si="5"/>
        <v>972.8414916992188</v>
      </c>
      <c r="AA28" s="32">
        <f t="shared" si="6"/>
        <v>0.16961021982531257</v>
      </c>
      <c r="AB28" s="33">
        <f t="shared" si="7"/>
        <v>0.40143823470691015</v>
      </c>
      <c r="AC28" s="33">
        <v>0.5</v>
      </c>
      <c r="AD28" s="33">
        <f t="shared" si="8"/>
        <v>0.6026290714784973</v>
      </c>
      <c r="AE28" s="33">
        <f t="shared" si="9"/>
        <v>1</v>
      </c>
      <c r="AF28" s="33">
        <f t="shared" si="10"/>
        <v>-999</v>
      </c>
      <c r="AG28" s="33">
        <f t="shared" si="11"/>
        <v>-999</v>
      </c>
      <c r="AH28" s="33">
        <f t="shared" si="12"/>
        <v>0.3236848509911517</v>
      </c>
      <c r="AI28" s="34">
        <f t="shared" si="13"/>
        <v>0.6036668683843919</v>
      </c>
      <c r="AJ28" s="4">
        <v>25.297955225459287</v>
      </c>
      <c r="AK28" s="32">
        <f t="shared" si="14"/>
        <v>0.3236848509911517</v>
      </c>
      <c r="AL28" s="34">
        <f t="shared" si="15"/>
        <v>-999</v>
      </c>
      <c r="AY28" s="103" t="s">
        <v>241</v>
      </c>
      <c r="AZ28" s="103" t="s">
        <v>242</v>
      </c>
      <c r="BA28" s="103" t="s">
        <v>539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434</v>
      </c>
      <c r="BA29" s="103" t="s">
        <v>358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455</v>
      </c>
      <c r="BA31" s="103" t="s">
        <v>358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414</v>
      </c>
      <c r="BA32" s="103" t="s">
        <v>358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479</v>
      </c>
      <c r="BA33" s="103" t="s">
        <v>539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358</v>
      </c>
      <c r="BB34" s="10">
        <v>532801</v>
      </c>
      <c r="BE34" s="77"/>
      <c r="BF34" s="253"/>
    </row>
    <row r="35" spans="2:58" ht="12.75">
      <c r="B35" s="17" t="s">
        <v>41</v>
      </c>
      <c r="C35" s="18"/>
      <c r="H35" s="290" t="s">
        <v>611</v>
      </c>
      <c r="I35" s="291"/>
      <c r="Y35" s="43"/>
      <c r="Z35" s="44"/>
      <c r="AA35" s="44"/>
      <c r="AB35" s="43"/>
      <c r="AC35" s="43"/>
      <c r="AY35" s="103" t="s">
        <v>159</v>
      </c>
      <c r="AZ35" s="103" t="s">
        <v>447</v>
      </c>
      <c r="BA35" s="103" t="s">
        <v>358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436</v>
      </c>
      <c r="BA36" s="103" t="s">
        <v>358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453</v>
      </c>
      <c r="BA37" s="103" t="s">
        <v>358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358</v>
      </c>
      <c r="BB40" s="10">
        <v>714731</v>
      </c>
      <c r="BF40" s="252"/>
    </row>
    <row r="41" spans="1:58" ht="12.75">
      <c r="A41" s="3"/>
      <c r="B41" s="71"/>
      <c r="C41" s="3"/>
      <c r="T41" s="13"/>
      <c r="U41" s="2"/>
      <c r="W41" s="2"/>
      <c r="X41" s="10"/>
      <c r="Y41" s="44"/>
      <c r="Z41" s="44"/>
      <c r="AA41" s="44"/>
      <c r="AB41" s="44"/>
      <c r="AC41" s="44"/>
      <c r="AD41" s="2"/>
      <c r="AE41" s="2"/>
      <c r="AY41" s="103" t="s">
        <v>272</v>
      </c>
      <c r="AZ41" s="103" t="s">
        <v>480</v>
      </c>
      <c r="BA41" s="103" t="s">
        <v>539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477</v>
      </c>
      <c r="BA43" s="103" t="s">
        <v>358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465</v>
      </c>
      <c r="BA44" s="103" t="s">
        <v>358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456</v>
      </c>
      <c r="BA46" s="103" t="s">
        <v>539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460</v>
      </c>
      <c r="BA48" s="103" t="s">
        <v>539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471</v>
      </c>
      <c r="BA49" s="103" t="s">
        <v>539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437</v>
      </c>
      <c r="BA51" s="103" t="s">
        <v>358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358</v>
      </c>
      <c r="BB52" s="10">
        <v>611636</v>
      </c>
      <c r="BF52" s="252"/>
    </row>
    <row r="53" spans="1:58" ht="12.75">
      <c r="A53" s="3"/>
      <c r="B53" s="12"/>
      <c r="C53" s="3"/>
      <c r="I53" s="11"/>
      <c r="J53" s="11"/>
      <c r="K53" s="11"/>
      <c r="L53" s="11"/>
      <c r="S53" s="11"/>
      <c r="U53" s="2"/>
      <c r="X53" s="2"/>
      <c r="Y53" s="2"/>
      <c r="Z53" s="2"/>
      <c r="AA53" s="2"/>
      <c r="AB53" s="2"/>
      <c r="AY53" s="103" t="s">
        <v>244</v>
      </c>
      <c r="AZ53" s="103" t="s">
        <v>470</v>
      </c>
      <c r="BA53" s="103" t="s">
        <v>358</v>
      </c>
      <c r="BB53" s="10">
        <v>230998</v>
      </c>
      <c r="BF53" s="252"/>
    </row>
    <row r="54" spans="1:58" ht="12.75">
      <c r="A54" s="3"/>
      <c r="B54" s="12"/>
      <c r="C54" s="3"/>
      <c r="I54" s="11"/>
      <c r="J54" s="11"/>
      <c r="K54" s="11"/>
      <c r="L54" s="11"/>
      <c r="S54" s="11"/>
      <c r="U54" s="2"/>
      <c r="X54" s="2"/>
      <c r="Y54" s="2"/>
      <c r="Z54" s="2"/>
      <c r="AA54" s="2"/>
      <c r="AB54" s="2"/>
      <c r="AY54" s="103" t="s">
        <v>67</v>
      </c>
      <c r="AZ54" s="103" t="s">
        <v>411</v>
      </c>
      <c r="BA54" s="103" t="s">
        <v>358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457</v>
      </c>
      <c r="BA55" s="103" t="s">
        <v>358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427</v>
      </c>
      <c r="BA56" s="103" t="s">
        <v>358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472</v>
      </c>
      <c r="BA57" s="103" t="s">
        <v>358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417</v>
      </c>
      <c r="BA58" s="103" t="s">
        <v>358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461</v>
      </c>
      <c r="BA61" s="103" t="s">
        <v>539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450</v>
      </c>
      <c r="BA63" s="103" t="s">
        <v>358</v>
      </c>
      <c r="BB63" s="10">
        <v>318405</v>
      </c>
      <c r="BE63" s="70"/>
      <c r="BF63" s="239"/>
    </row>
    <row r="64" spans="1:58" ht="12.75">
      <c r="A64" s="3"/>
      <c r="B64" s="12"/>
      <c r="C64" s="3"/>
      <c r="I64" s="11"/>
      <c r="V64" s="3"/>
      <c r="AY64" s="103" t="s">
        <v>78</v>
      </c>
      <c r="AZ64" s="103" t="s">
        <v>418</v>
      </c>
      <c r="BA64" s="103" t="s">
        <v>539</v>
      </c>
      <c r="BB64" s="10">
        <v>181285</v>
      </c>
      <c r="BE64" s="70"/>
      <c r="BF64" s="241"/>
    </row>
    <row r="65" spans="1:58" ht="12.75">
      <c r="A65" s="3"/>
      <c r="B65" s="12"/>
      <c r="C65" s="3"/>
      <c r="AY65" s="103" t="s">
        <v>528</v>
      </c>
      <c r="AZ65" s="103" t="s">
        <v>529</v>
      </c>
      <c r="BA65" s="103" t="s">
        <v>358</v>
      </c>
      <c r="BB65" s="10">
        <v>1169302</v>
      </c>
      <c r="BE65" s="70"/>
      <c r="BF65" s="241"/>
    </row>
    <row r="66" spans="1:58" ht="12.75">
      <c r="A66" s="3"/>
      <c r="B66" s="12"/>
      <c r="C66" s="3"/>
      <c r="E66" s="2"/>
      <c r="F66" s="2"/>
      <c r="G66" s="2"/>
      <c r="V66" s="2"/>
      <c r="AY66" s="103" t="s">
        <v>200</v>
      </c>
      <c r="AZ66" s="103" t="s">
        <v>458</v>
      </c>
      <c r="BA66" s="103" t="s">
        <v>358</v>
      </c>
      <c r="BB66" s="10">
        <v>217916</v>
      </c>
      <c r="BE66" s="70"/>
      <c r="BF66" s="239"/>
    </row>
    <row r="67" spans="1:58" ht="12.75">
      <c r="A67" s="3"/>
      <c r="B67" s="12"/>
      <c r="C67" s="3"/>
      <c r="AY67" s="103" t="s">
        <v>69</v>
      </c>
      <c r="AZ67" s="103" t="s">
        <v>70</v>
      </c>
      <c r="BA67" s="103" t="s">
        <v>358</v>
      </c>
      <c r="BB67" s="10">
        <v>270842</v>
      </c>
      <c r="BE67" s="70"/>
      <c r="BF67" s="239"/>
    </row>
    <row r="68" spans="1:58" ht="12.75">
      <c r="A68" s="3"/>
      <c r="B68" s="12"/>
      <c r="C68" s="3"/>
      <c r="AY68" s="103" t="s">
        <v>109</v>
      </c>
      <c r="AZ68" s="103" t="s">
        <v>110</v>
      </c>
      <c r="BA68" s="103" t="s">
        <v>358</v>
      </c>
      <c r="BB68" s="10">
        <v>251613</v>
      </c>
      <c r="BF68" s="252"/>
    </row>
    <row r="69" spans="1:58" ht="12.75">
      <c r="A69" s="3"/>
      <c r="B69" s="12"/>
      <c r="C69" s="3"/>
      <c r="AY69" s="103" t="s">
        <v>209</v>
      </c>
      <c r="AZ69" s="103" t="s">
        <v>210</v>
      </c>
      <c r="BA69" s="103" t="s">
        <v>358</v>
      </c>
      <c r="BB69" s="10">
        <v>283547</v>
      </c>
      <c r="BE69" s="70"/>
      <c r="BF69" s="241"/>
    </row>
    <row r="70" spans="1:58" ht="12.75">
      <c r="A70" s="3"/>
      <c r="B70" s="12"/>
      <c r="C70" s="3"/>
      <c r="AY70" s="103" t="s">
        <v>275</v>
      </c>
      <c r="AZ70" s="103" t="s">
        <v>481</v>
      </c>
      <c r="BA70" s="103" t="s">
        <v>538</v>
      </c>
      <c r="BB70" s="10">
        <v>141474</v>
      </c>
      <c r="BE70" s="70"/>
      <c r="BF70" s="239"/>
    </row>
    <row r="71" spans="1:58" ht="12.75">
      <c r="A71" s="3"/>
      <c r="B71" s="12"/>
      <c r="C71" s="3"/>
      <c r="AY71" s="103" t="s">
        <v>127</v>
      </c>
      <c r="AZ71" s="103" t="s">
        <v>435</v>
      </c>
      <c r="BA71" s="103" t="s">
        <v>358</v>
      </c>
      <c r="BB71" s="10">
        <v>213326</v>
      </c>
      <c r="BE71" s="70"/>
      <c r="BF71" s="239"/>
    </row>
    <row r="72" spans="1:58" ht="12.75">
      <c r="A72" s="3"/>
      <c r="B72" s="12"/>
      <c r="C72" s="3"/>
      <c r="AY72" s="103" t="s">
        <v>136</v>
      </c>
      <c r="AZ72" s="103" t="s">
        <v>137</v>
      </c>
      <c r="BA72" s="103" t="s">
        <v>358</v>
      </c>
      <c r="BB72" s="10">
        <v>183220</v>
      </c>
      <c r="BE72" s="250"/>
      <c r="BF72" s="239"/>
    </row>
    <row r="73" spans="1:58" ht="12.75">
      <c r="A73" s="3"/>
      <c r="B73" s="12"/>
      <c r="C73" s="3"/>
      <c r="AY73" s="103" t="s">
        <v>64</v>
      </c>
      <c r="AZ73" s="103" t="s">
        <v>410</v>
      </c>
      <c r="BA73" s="103" t="s">
        <v>358</v>
      </c>
      <c r="BB73" s="10">
        <v>190143</v>
      </c>
      <c r="BE73" s="70"/>
      <c r="BF73" s="239"/>
    </row>
    <row r="74" spans="1:58" ht="12.75">
      <c r="A74" s="3"/>
      <c r="B74" s="12"/>
      <c r="C74" s="3"/>
      <c r="AY74" s="103" t="s">
        <v>165</v>
      </c>
      <c r="AZ74" s="103" t="s">
        <v>166</v>
      </c>
      <c r="BA74" s="103" t="s">
        <v>539</v>
      </c>
      <c r="BB74" s="10">
        <v>419928</v>
      </c>
      <c r="BE74" s="70"/>
      <c r="BF74" s="241"/>
    </row>
    <row r="75" spans="1:58" ht="12.75">
      <c r="A75" s="3"/>
      <c r="B75" s="12"/>
      <c r="C75" s="3"/>
      <c r="AY75" s="103" t="s">
        <v>113</v>
      </c>
      <c r="AZ75" s="103" t="s">
        <v>429</v>
      </c>
      <c r="BA75" s="103" t="s">
        <v>358</v>
      </c>
      <c r="BB75" s="10">
        <v>158106</v>
      </c>
      <c r="BE75" s="70"/>
      <c r="BF75" s="241"/>
    </row>
    <row r="76" spans="1:58" ht="12.75">
      <c r="A76" s="3"/>
      <c r="B76" s="12"/>
      <c r="C76" s="3"/>
      <c r="AY76" s="103" t="s">
        <v>140</v>
      </c>
      <c r="AZ76" s="103" t="s">
        <v>141</v>
      </c>
      <c r="BA76" s="103" t="s">
        <v>358</v>
      </c>
      <c r="BB76" s="10">
        <v>377807</v>
      </c>
      <c r="BE76" s="70"/>
      <c r="BF76" s="241"/>
    </row>
    <row r="77" spans="1:58" ht="12.75">
      <c r="A77" s="3"/>
      <c r="B77" s="12"/>
      <c r="C77" s="3"/>
      <c r="AY77" s="103" t="s">
        <v>163</v>
      </c>
      <c r="AZ77" s="103" t="s">
        <v>164</v>
      </c>
      <c r="BA77" s="103" t="s">
        <v>539</v>
      </c>
      <c r="BB77" s="10">
        <v>799634</v>
      </c>
      <c r="BE77" s="70"/>
      <c r="BF77" s="249"/>
    </row>
    <row r="78" spans="1:58" ht="12.75">
      <c r="A78" s="3"/>
      <c r="B78" s="12"/>
      <c r="C78" s="3"/>
      <c r="AY78" s="103" t="s">
        <v>224</v>
      </c>
      <c r="AZ78" s="103" t="s">
        <v>225</v>
      </c>
      <c r="BA78" s="103" t="s">
        <v>358</v>
      </c>
      <c r="BB78" s="10">
        <v>362638</v>
      </c>
      <c r="BE78" s="70"/>
      <c r="BF78" s="239"/>
    </row>
    <row r="79" spans="1:58" ht="12.75">
      <c r="A79" s="3"/>
      <c r="B79" s="12"/>
      <c r="C79" s="3"/>
      <c r="AY79" s="103" t="s">
        <v>223</v>
      </c>
      <c r="AZ79" s="103" t="s">
        <v>463</v>
      </c>
      <c r="BA79" s="103" t="s">
        <v>358</v>
      </c>
      <c r="BB79" s="10">
        <v>678998</v>
      </c>
      <c r="BF79" s="239"/>
    </row>
    <row r="80" spans="1:58" ht="12.75">
      <c r="A80" s="3"/>
      <c r="B80" s="12"/>
      <c r="C80" s="3"/>
      <c r="AY80" s="103" t="s">
        <v>144</v>
      </c>
      <c r="AZ80" s="103" t="s">
        <v>145</v>
      </c>
      <c r="BA80" s="103" t="s">
        <v>358</v>
      </c>
      <c r="BB80" s="10">
        <v>290986</v>
      </c>
      <c r="BF80" s="252"/>
    </row>
    <row r="81" spans="1:58" ht="12.75">
      <c r="A81" s="3"/>
      <c r="B81" s="12"/>
      <c r="C81" s="3"/>
      <c r="AY81" s="103" t="s">
        <v>178</v>
      </c>
      <c r="AZ81" s="103" t="s">
        <v>452</v>
      </c>
      <c r="BA81" s="103" t="s">
        <v>539</v>
      </c>
      <c r="BB81" s="10">
        <v>747976</v>
      </c>
      <c r="BF81" s="252"/>
    </row>
    <row r="82" spans="1:58" ht="12.75">
      <c r="A82" s="3"/>
      <c r="B82" s="12"/>
      <c r="C82" s="3"/>
      <c r="AY82" s="103" t="s">
        <v>193</v>
      </c>
      <c r="AZ82" s="103" t="s">
        <v>194</v>
      </c>
      <c r="BA82" s="103" t="s">
        <v>358</v>
      </c>
      <c r="BB82" s="10">
        <v>489140</v>
      </c>
      <c r="BF82" s="252"/>
    </row>
    <row r="83" spans="1:58" ht="12.75">
      <c r="A83" s="3"/>
      <c r="B83" s="12"/>
      <c r="C83" s="3"/>
      <c r="AY83" s="103" t="s">
        <v>98</v>
      </c>
      <c r="AZ83" s="103" t="s">
        <v>426</v>
      </c>
      <c r="BA83" s="103" t="s">
        <v>539</v>
      </c>
      <c r="BB83" s="10">
        <v>208442</v>
      </c>
      <c r="BE83" s="70"/>
      <c r="BF83" s="241"/>
    </row>
    <row r="84" spans="1:58" ht="12.75">
      <c r="A84" s="3"/>
      <c r="B84" s="12"/>
      <c r="C84" s="3"/>
      <c r="AY84" s="103" t="s">
        <v>203</v>
      </c>
      <c r="AZ84" s="103" t="s">
        <v>204</v>
      </c>
      <c r="BA84" s="103" t="s">
        <v>539</v>
      </c>
      <c r="BB84" s="10">
        <v>545543</v>
      </c>
      <c r="BE84" s="70"/>
      <c r="BF84" s="241"/>
    </row>
    <row r="85" spans="1:58" ht="12.75">
      <c r="A85" s="3"/>
      <c r="B85" s="12"/>
      <c r="C85" s="3"/>
      <c r="AY85" s="103" t="s">
        <v>135</v>
      </c>
      <c r="AZ85" s="103" t="s">
        <v>441</v>
      </c>
      <c r="BA85" s="103" t="s">
        <v>539</v>
      </c>
      <c r="BB85" s="10">
        <v>274067</v>
      </c>
      <c r="BE85" s="70"/>
      <c r="BF85" s="241"/>
    </row>
    <row r="86" spans="1:58" ht="12.75">
      <c r="A86" s="3"/>
      <c r="B86" s="12"/>
      <c r="C86" s="3"/>
      <c r="AY86" s="103" t="s">
        <v>251</v>
      </c>
      <c r="AZ86" s="103" t="s">
        <v>252</v>
      </c>
      <c r="BA86" s="103" t="s">
        <v>539</v>
      </c>
      <c r="BB86" s="10">
        <v>374861</v>
      </c>
      <c r="BE86" s="70"/>
      <c r="BF86" s="249"/>
    </row>
    <row r="87" spans="1:58" ht="12.75">
      <c r="A87" s="3"/>
      <c r="B87" s="12"/>
      <c r="C87" s="3"/>
      <c r="AY87" s="103" t="s">
        <v>132</v>
      </c>
      <c r="AZ87" s="103" t="s">
        <v>133</v>
      </c>
      <c r="BA87" s="103" t="s">
        <v>358</v>
      </c>
      <c r="BB87" s="10">
        <v>153833</v>
      </c>
      <c r="BE87" s="70"/>
      <c r="BF87" s="249"/>
    </row>
    <row r="88" spans="1:58" ht="12.75">
      <c r="A88" s="3"/>
      <c r="B88" s="12"/>
      <c r="C88" s="3"/>
      <c r="AY88" s="103" t="s">
        <v>79</v>
      </c>
      <c r="AZ88" s="103" t="s">
        <v>80</v>
      </c>
      <c r="BA88" s="103" t="s">
        <v>539</v>
      </c>
      <c r="BB88" s="10">
        <v>258492</v>
      </c>
      <c r="BE88" s="70"/>
      <c r="BF88" s="241"/>
    </row>
    <row r="89" spans="1:58" ht="12.75">
      <c r="A89" s="3"/>
      <c r="B89" s="12"/>
      <c r="C89" s="3"/>
      <c r="AY89" s="103" t="s">
        <v>81</v>
      </c>
      <c r="AZ89" s="103" t="s">
        <v>419</v>
      </c>
      <c r="BA89" s="103" t="s">
        <v>358</v>
      </c>
      <c r="BB89" s="10">
        <v>283085</v>
      </c>
      <c r="BE89" s="70"/>
      <c r="BF89" s="241"/>
    </row>
    <row r="90" spans="1:58" ht="12.75">
      <c r="A90" s="3"/>
      <c r="B90" s="12"/>
      <c r="C90" s="3"/>
      <c r="AY90" s="103" t="s">
        <v>76</v>
      </c>
      <c r="AZ90" s="103" t="s">
        <v>416</v>
      </c>
      <c r="BA90" s="103" t="s">
        <v>358</v>
      </c>
      <c r="BB90" s="10">
        <v>357346</v>
      </c>
      <c r="BE90" s="70"/>
      <c r="BF90" s="241"/>
    </row>
    <row r="91" spans="1:58" ht="12.75">
      <c r="A91" s="3"/>
      <c r="B91" s="12"/>
      <c r="C91" s="3"/>
      <c r="AY91" s="103" t="s">
        <v>243</v>
      </c>
      <c r="AZ91" s="103" t="s">
        <v>469</v>
      </c>
      <c r="BA91" s="103" t="s">
        <v>539</v>
      </c>
      <c r="BB91" s="10">
        <v>748575</v>
      </c>
      <c r="BE91" s="247"/>
      <c r="BF91" s="249"/>
    </row>
    <row r="92" spans="1:58" ht="12.75">
      <c r="A92" s="3"/>
      <c r="B92" s="12"/>
      <c r="C92" s="3"/>
      <c r="AY92" s="103" t="s">
        <v>249</v>
      </c>
      <c r="AZ92" s="103" t="s">
        <v>250</v>
      </c>
      <c r="BA92" s="103" t="s">
        <v>539</v>
      </c>
      <c r="BB92" s="10">
        <v>322673</v>
      </c>
      <c r="BE92" s="247"/>
      <c r="BF92" s="249"/>
    </row>
    <row r="93" spans="1:58" ht="12.75">
      <c r="A93" s="3"/>
      <c r="B93" s="12"/>
      <c r="C93" s="3"/>
      <c r="AY93" s="103" t="s">
        <v>58</v>
      </c>
      <c r="AZ93" s="103" t="s">
        <v>59</v>
      </c>
      <c r="BA93" s="103" t="s">
        <v>358</v>
      </c>
      <c r="BB93" s="10">
        <v>165284</v>
      </c>
      <c r="BF93" s="252"/>
    </row>
    <row r="94" spans="1:58" ht="12.75">
      <c r="A94" s="3"/>
      <c r="B94" s="12"/>
      <c r="C94" s="3"/>
      <c r="AY94" s="103" t="s">
        <v>186</v>
      </c>
      <c r="AZ94" s="103" t="s">
        <v>454</v>
      </c>
      <c r="BA94" s="103" t="s">
        <v>358</v>
      </c>
      <c r="BB94" s="10">
        <v>339272</v>
      </c>
      <c r="BE94" s="70"/>
      <c r="BF94" s="241"/>
    </row>
    <row r="95" spans="1:58" ht="12.75">
      <c r="A95" s="3"/>
      <c r="B95" s="12"/>
      <c r="C95" s="3"/>
      <c r="AY95" s="103" t="s">
        <v>86</v>
      </c>
      <c r="AZ95" s="103" t="s">
        <v>87</v>
      </c>
      <c r="BA95" s="103" t="s">
        <v>358</v>
      </c>
      <c r="BB95" s="10">
        <v>165642</v>
      </c>
      <c r="BE95" s="247"/>
      <c r="BF95" s="249"/>
    </row>
    <row r="96" spans="1:58" ht="12.75">
      <c r="A96" s="3"/>
      <c r="B96" s="12"/>
      <c r="C96" s="3"/>
      <c r="AY96" s="103" t="s">
        <v>157</v>
      </c>
      <c r="AZ96" s="103" t="s">
        <v>158</v>
      </c>
      <c r="BA96" s="103" t="s">
        <v>358</v>
      </c>
      <c r="BB96" s="10">
        <v>208351</v>
      </c>
      <c r="BE96" s="243"/>
      <c r="BF96" s="238"/>
    </row>
    <row r="97" spans="1:58" ht="12.75">
      <c r="A97" s="3"/>
      <c r="B97" s="12"/>
      <c r="C97" s="3"/>
      <c r="AY97" s="103" t="s">
        <v>231</v>
      </c>
      <c r="AZ97" s="103" t="s">
        <v>232</v>
      </c>
      <c r="BA97" s="103" t="s">
        <v>358</v>
      </c>
      <c r="BB97" s="10">
        <v>203178</v>
      </c>
      <c r="BE97" s="243"/>
      <c r="BF97" s="238"/>
    </row>
    <row r="98" spans="1:58" ht="12.75">
      <c r="A98" s="3"/>
      <c r="B98" s="12"/>
      <c r="C98" s="3"/>
      <c r="AY98" s="103" t="s">
        <v>82</v>
      </c>
      <c r="AZ98" s="103" t="s">
        <v>420</v>
      </c>
      <c r="BA98" s="103" t="s">
        <v>358</v>
      </c>
      <c r="BB98" s="10">
        <v>214052</v>
      </c>
      <c r="BE98" s="248"/>
      <c r="BF98" s="241"/>
    </row>
    <row r="99" spans="1:58" ht="12.75">
      <c r="A99" s="3"/>
      <c r="B99" s="12"/>
      <c r="C99" s="3"/>
      <c r="AY99" s="103" t="s">
        <v>205</v>
      </c>
      <c r="AZ99" s="103" t="s">
        <v>206</v>
      </c>
      <c r="BA99" s="103" t="s">
        <v>539</v>
      </c>
      <c r="BB99" s="10">
        <v>795503</v>
      </c>
      <c r="BE99" s="70"/>
      <c r="BF99" s="249"/>
    </row>
    <row r="100" spans="1:58" ht="12.75">
      <c r="A100" s="3"/>
      <c r="B100" s="12"/>
      <c r="C100" s="3"/>
      <c r="AY100" s="103" t="s">
        <v>226</v>
      </c>
      <c r="AZ100" s="103" t="s">
        <v>464</v>
      </c>
      <c r="BA100" s="103" t="s">
        <v>358</v>
      </c>
      <c r="BB100" s="10">
        <v>648340</v>
      </c>
      <c r="BE100" s="70"/>
      <c r="BF100" s="249"/>
    </row>
    <row r="101" spans="51:58" ht="12.75">
      <c r="AY101" s="103" t="s">
        <v>51</v>
      </c>
      <c r="AZ101" s="103" t="s">
        <v>52</v>
      </c>
      <c r="BA101" s="103" t="s">
        <v>358</v>
      </c>
      <c r="BB101" s="10">
        <v>320818</v>
      </c>
      <c r="BE101" s="237"/>
      <c r="BF101" s="238"/>
    </row>
    <row r="102" spans="51:58" ht="12.75">
      <c r="AY102" s="103" t="s">
        <v>88</v>
      </c>
      <c r="AZ102" s="103" t="s">
        <v>89</v>
      </c>
      <c r="BA102" s="103" t="s">
        <v>358</v>
      </c>
      <c r="BB102" s="10">
        <v>339920</v>
      </c>
      <c r="BE102" s="237"/>
      <c r="BF102" s="238"/>
    </row>
    <row r="103" spans="51:58" ht="12.75">
      <c r="AY103" s="103" t="s">
        <v>177</v>
      </c>
      <c r="AZ103" s="103" t="s">
        <v>451</v>
      </c>
      <c r="BA103" s="103" t="s">
        <v>358</v>
      </c>
      <c r="BB103" s="10">
        <v>656875</v>
      </c>
      <c r="BE103" s="70"/>
      <c r="BF103" s="239"/>
    </row>
    <row r="104" spans="51:58" ht="12.75">
      <c r="AY104" s="103" t="s">
        <v>114</v>
      </c>
      <c r="AZ104" s="103" t="s">
        <v>430</v>
      </c>
      <c r="BA104" s="103" t="s">
        <v>358</v>
      </c>
      <c r="BB104" s="10">
        <v>236592</v>
      </c>
      <c r="BF104" s="252"/>
    </row>
    <row r="105" spans="51:58" ht="12.75">
      <c r="AY105" s="103" t="s">
        <v>259</v>
      </c>
      <c r="AZ105" s="103" t="s">
        <v>473</v>
      </c>
      <c r="BA105" s="103" t="s">
        <v>539</v>
      </c>
      <c r="BB105" s="10">
        <v>671572</v>
      </c>
      <c r="BE105" s="237"/>
      <c r="BF105" s="238"/>
    </row>
    <row r="106" spans="51:58" ht="12.75">
      <c r="AY106" s="103" t="s">
        <v>239</v>
      </c>
      <c r="AZ106" s="103" t="s">
        <v>240</v>
      </c>
      <c r="BA106" s="103" t="s">
        <v>539</v>
      </c>
      <c r="BB106" s="10">
        <v>177882</v>
      </c>
      <c r="BF106" s="252"/>
    </row>
    <row r="107" spans="51:58" ht="12.75">
      <c r="AY107" s="103" t="s">
        <v>91</v>
      </c>
      <c r="AZ107" s="103" t="s">
        <v>423</v>
      </c>
      <c r="BA107" s="103" t="s">
        <v>358</v>
      </c>
      <c r="BB107" s="10">
        <v>274443</v>
      </c>
      <c r="BF107" s="252"/>
    </row>
    <row r="108" spans="51:58" ht="12.75">
      <c r="AY108" s="103" t="s">
        <v>95</v>
      </c>
      <c r="AZ108" s="103" t="s">
        <v>425</v>
      </c>
      <c r="BA108" s="103" t="s">
        <v>358</v>
      </c>
      <c r="BB108" s="10">
        <v>213174</v>
      </c>
      <c r="BE108" s="70"/>
      <c r="BF108" s="239"/>
    </row>
    <row r="109" spans="51:58" ht="12.75">
      <c r="AY109" s="103" t="s">
        <v>179</v>
      </c>
      <c r="AZ109" s="103" t="s">
        <v>180</v>
      </c>
      <c r="BA109" s="103" t="s">
        <v>358</v>
      </c>
      <c r="BB109" s="10">
        <v>278950</v>
      </c>
      <c r="BE109" s="237"/>
      <c r="BF109" s="238"/>
    </row>
    <row r="110" spans="51:58" ht="12.75">
      <c r="AY110" s="103" t="s">
        <v>273</v>
      </c>
      <c r="AZ110" s="103" t="s">
        <v>274</v>
      </c>
      <c r="BA110" s="103" t="s">
        <v>358</v>
      </c>
      <c r="BB110" s="10">
        <v>133304</v>
      </c>
      <c r="BE110" s="70"/>
      <c r="BF110" s="249"/>
    </row>
    <row r="111" spans="51:58" ht="12.75">
      <c r="AY111" s="103" t="s">
        <v>155</v>
      </c>
      <c r="AZ111" s="103" t="s">
        <v>445</v>
      </c>
      <c r="BA111" s="103" t="s">
        <v>358</v>
      </c>
      <c r="BB111" s="10">
        <v>197060</v>
      </c>
      <c r="BE111" s="70"/>
      <c r="BF111" s="239"/>
    </row>
    <row r="112" spans="51:58" ht="12.75">
      <c r="AY112" s="103" t="s">
        <v>100</v>
      </c>
      <c r="AZ112" s="103" t="s">
        <v>101</v>
      </c>
      <c r="BA112" s="103" t="s">
        <v>358</v>
      </c>
      <c r="BB112" s="10">
        <v>253140</v>
      </c>
      <c r="BE112" s="250"/>
      <c r="BF112" s="249"/>
    </row>
    <row r="113" spans="51:58" ht="12.75">
      <c r="AY113" s="103" t="s">
        <v>92</v>
      </c>
      <c r="AZ113" s="103" t="s">
        <v>93</v>
      </c>
      <c r="BA113" s="103" t="s">
        <v>358</v>
      </c>
      <c r="BB113" s="10">
        <v>240983</v>
      </c>
      <c r="BE113" s="70"/>
      <c r="BF113" s="241"/>
    </row>
    <row r="114" spans="51:58" ht="12.75">
      <c r="AY114" s="103" t="s">
        <v>228</v>
      </c>
      <c r="AZ114" s="103" t="s">
        <v>466</v>
      </c>
      <c r="BA114" s="103" t="s">
        <v>358</v>
      </c>
      <c r="BB114" s="10">
        <v>340451</v>
      </c>
      <c r="BF114" s="241"/>
    </row>
    <row r="115" spans="51:58" ht="12.75">
      <c r="AY115" s="103" t="s">
        <v>189</v>
      </c>
      <c r="AZ115" s="103" t="s">
        <v>190</v>
      </c>
      <c r="BA115" s="103" t="s">
        <v>358</v>
      </c>
      <c r="BB115" s="10">
        <v>280673</v>
      </c>
      <c r="BE115" s="248"/>
      <c r="BF115" s="241"/>
    </row>
    <row r="116" spans="51:58" ht="12.75">
      <c r="AY116" s="103" t="s">
        <v>169</v>
      </c>
      <c r="AZ116" s="103" t="s">
        <v>170</v>
      </c>
      <c r="BA116" s="103" t="s">
        <v>358</v>
      </c>
      <c r="BB116" s="10">
        <v>565874</v>
      </c>
      <c r="BE116" s="70"/>
      <c r="BF116" s="239"/>
    </row>
    <row r="117" spans="51:58" ht="12.75">
      <c r="AY117" s="103" t="s">
        <v>152</v>
      </c>
      <c r="AZ117" s="103" t="s">
        <v>444</v>
      </c>
      <c r="BA117" s="103" t="s">
        <v>539</v>
      </c>
      <c r="BB117" s="10">
        <v>295379</v>
      </c>
      <c r="BE117" s="237"/>
      <c r="BF117" s="238"/>
    </row>
    <row r="118" spans="51:58" ht="12.75">
      <c r="AY118" s="103" t="s">
        <v>56</v>
      </c>
      <c r="AZ118" s="103" t="s">
        <v>57</v>
      </c>
      <c r="BA118" s="103" t="s">
        <v>358</v>
      </c>
      <c r="BB118" s="10">
        <v>217094</v>
      </c>
      <c r="BE118" s="70"/>
      <c r="BF118" s="239"/>
    </row>
    <row r="119" spans="51:58" ht="12.75">
      <c r="AY119" s="103" t="s">
        <v>268</v>
      </c>
      <c r="AZ119" s="103" t="s">
        <v>476</v>
      </c>
      <c r="BA119" s="103" t="s">
        <v>358</v>
      </c>
      <c r="BB119" s="10">
        <v>538131</v>
      </c>
      <c r="BE119" s="70"/>
      <c r="BF119" s="239"/>
    </row>
    <row r="120" spans="51:58" ht="12.75">
      <c r="AY120" s="103" t="s">
        <v>150</v>
      </c>
      <c r="AZ120" s="103" t="s">
        <v>151</v>
      </c>
      <c r="BA120" s="103" t="s">
        <v>539</v>
      </c>
      <c r="BB120" s="10">
        <v>389725</v>
      </c>
      <c r="BE120" s="70"/>
      <c r="BF120" s="239"/>
    </row>
    <row r="121" spans="51:58" ht="12.75">
      <c r="AY121" s="103" t="s">
        <v>212</v>
      </c>
      <c r="AZ121" s="103" t="s">
        <v>213</v>
      </c>
      <c r="BA121" s="103" t="s">
        <v>539</v>
      </c>
      <c r="BB121" s="10">
        <v>356812</v>
      </c>
      <c r="BE121" s="237"/>
      <c r="BF121" s="238"/>
    </row>
    <row r="122" spans="51:58" ht="12.75">
      <c r="AY122" s="103" t="s">
        <v>60</v>
      </c>
      <c r="AZ122" s="103" t="s">
        <v>61</v>
      </c>
      <c r="BA122" s="103" t="s">
        <v>358</v>
      </c>
      <c r="BB122" s="10">
        <v>256321</v>
      </c>
      <c r="BE122" s="70"/>
      <c r="BF122" s="249"/>
    </row>
    <row r="123" spans="51:58" ht="12.75">
      <c r="AY123" s="103" t="s">
        <v>234</v>
      </c>
      <c r="AZ123" s="103" t="s">
        <v>468</v>
      </c>
      <c r="BA123" s="103" t="s">
        <v>539</v>
      </c>
      <c r="BB123" s="10">
        <v>615835</v>
      </c>
      <c r="BF123" s="252"/>
    </row>
    <row r="124" spans="51:58" ht="12.75">
      <c r="AY124" s="103" t="s">
        <v>130</v>
      </c>
      <c r="AZ124" s="103" t="s">
        <v>438</v>
      </c>
      <c r="BA124" s="103" t="s">
        <v>358</v>
      </c>
      <c r="BB124" s="10">
        <v>150179</v>
      </c>
      <c r="BF124" s="252"/>
    </row>
    <row r="125" spans="51:58" ht="12.75">
      <c r="AY125" s="103" t="s">
        <v>253</v>
      </c>
      <c r="AZ125" s="103" t="s">
        <v>254</v>
      </c>
      <c r="BA125" s="103" t="s">
        <v>358</v>
      </c>
      <c r="BB125" s="10">
        <v>420503</v>
      </c>
      <c r="BE125" s="70"/>
      <c r="BF125" s="249"/>
    </row>
    <row r="126" spans="51:58" ht="12.75">
      <c r="AY126" s="103" t="s">
        <v>134</v>
      </c>
      <c r="AZ126" s="103" t="s">
        <v>440</v>
      </c>
      <c r="BA126" s="103" t="s">
        <v>358</v>
      </c>
      <c r="BB126" s="10">
        <v>263936</v>
      </c>
      <c r="BE126" s="70"/>
      <c r="BF126" s="239"/>
    </row>
    <row r="127" spans="51:58" ht="12.75">
      <c r="AY127" s="103" t="s">
        <v>142</v>
      </c>
      <c r="AZ127" s="103" t="s">
        <v>143</v>
      </c>
      <c r="BA127" s="103" t="s">
        <v>358</v>
      </c>
      <c r="BB127" s="10">
        <v>308593</v>
      </c>
      <c r="BF127" s="252"/>
    </row>
    <row r="128" spans="51:58" ht="12.75">
      <c r="AY128" s="103" t="s">
        <v>94</v>
      </c>
      <c r="AZ128" s="103" t="s">
        <v>424</v>
      </c>
      <c r="BA128" s="103" t="s">
        <v>539</v>
      </c>
      <c r="BB128" s="10">
        <v>298190</v>
      </c>
      <c r="BE128" s="250"/>
      <c r="BF128" s="249"/>
    </row>
    <row r="129" spans="51:58" ht="12.75">
      <c r="AY129" s="103" t="s">
        <v>85</v>
      </c>
      <c r="AZ129" s="103" t="s">
        <v>421</v>
      </c>
      <c r="BA129" s="103" t="s">
        <v>358</v>
      </c>
      <c r="BB129" s="10">
        <v>191885</v>
      </c>
      <c r="BE129" s="70"/>
      <c r="BF129" s="249"/>
    </row>
    <row r="130" spans="51:58" ht="12.75">
      <c r="AY130" s="103" t="s">
        <v>233</v>
      </c>
      <c r="AZ130" s="103" t="s">
        <v>467</v>
      </c>
      <c r="BA130" s="103" t="s">
        <v>358</v>
      </c>
      <c r="BB130" s="10">
        <v>268223</v>
      </c>
      <c r="BE130" s="70"/>
      <c r="BF130" s="249"/>
    </row>
    <row r="131" spans="51:58" ht="12.75">
      <c r="AY131" s="103" t="s">
        <v>245</v>
      </c>
      <c r="AZ131" s="103" t="s">
        <v>246</v>
      </c>
      <c r="BA131" s="103" t="s">
        <v>539</v>
      </c>
      <c r="BB131" s="10">
        <v>616983</v>
      </c>
      <c r="BE131" s="247"/>
      <c r="BF131" s="249"/>
    </row>
    <row r="132" spans="51:58" ht="12.75">
      <c r="AY132" s="103" t="s">
        <v>131</v>
      </c>
      <c r="AZ132" s="103" t="s">
        <v>439</v>
      </c>
      <c r="BA132" s="103" t="s">
        <v>358</v>
      </c>
      <c r="BB132" s="10">
        <v>283991</v>
      </c>
      <c r="BE132" s="247"/>
      <c r="BF132" s="249"/>
    </row>
    <row r="133" spans="51:58" ht="12.75">
      <c r="AY133" s="103" t="s">
        <v>216</v>
      </c>
      <c r="AZ133" s="103" t="s">
        <v>217</v>
      </c>
      <c r="BA133" s="103" t="s">
        <v>358</v>
      </c>
      <c r="BB133" s="10">
        <v>1156805</v>
      </c>
      <c r="BE133" s="247"/>
      <c r="BF133" s="251"/>
    </row>
    <row r="134" spans="51:58" ht="12.75">
      <c r="AY134" s="103" t="s">
        <v>156</v>
      </c>
      <c r="AZ134" s="103" t="s">
        <v>446</v>
      </c>
      <c r="BA134" s="103" t="s">
        <v>358</v>
      </c>
      <c r="BB134" s="10">
        <v>390971</v>
      </c>
      <c r="BE134" s="243"/>
      <c r="BF134" s="238"/>
    </row>
    <row r="135" spans="51:58" ht="12.75">
      <c r="AY135" s="103" t="s">
        <v>121</v>
      </c>
      <c r="AZ135" s="103" t="s">
        <v>122</v>
      </c>
      <c r="BA135" s="103" t="s">
        <v>538</v>
      </c>
      <c r="BB135" s="10">
        <v>218182</v>
      </c>
      <c r="BE135" s="250"/>
      <c r="BF135" s="249"/>
    </row>
    <row r="136" spans="51:58" ht="12.75">
      <c r="AY136" s="103" t="s">
        <v>148</v>
      </c>
      <c r="AZ136" s="103" t="s">
        <v>442</v>
      </c>
      <c r="BA136" s="103" t="s">
        <v>539</v>
      </c>
      <c r="BB136" s="10">
        <v>236598</v>
      </c>
      <c r="BE136" s="237"/>
      <c r="BF136" s="238"/>
    </row>
    <row r="137" spans="51:58" ht="12.75">
      <c r="AY137" s="103" t="s">
        <v>160</v>
      </c>
      <c r="AZ137" s="103" t="s">
        <v>448</v>
      </c>
      <c r="BA137" s="103" t="s">
        <v>539</v>
      </c>
      <c r="BB137" s="10">
        <v>165993</v>
      </c>
      <c r="BF137" s="252"/>
    </row>
    <row r="138" spans="51:58" ht="12.75">
      <c r="AY138" s="103" t="s">
        <v>54</v>
      </c>
      <c r="AZ138" s="103" t="s">
        <v>55</v>
      </c>
      <c r="BA138" s="103" t="s">
        <v>358</v>
      </c>
      <c r="BB138" s="10">
        <v>145889</v>
      </c>
      <c r="BE138" s="70"/>
      <c r="BF138" s="239"/>
    </row>
    <row r="139" spans="51:58" ht="12.75">
      <c r="AY139" s="103" t="s">
        <v>75</v>
      </c>
      <c r="AZ139" s="103" t="s">
        <v>415</v>
      </c>
      <c r="BA139" s="103" t="s">
        <v>358</v>
      </c>
      <c r="BB139" s="10">
        <v>267393</v>
      </c>
      <c r="BE139" s="237"/>
      <c r="BF139" s="238"/>
    </row>
    <row r="140" spans="51:58" ht="12.75">
      <c r="AY140" s="103" t="s">
        <v>201</v>
      </c>
      <c r="AZ140" s="103" t="s">
        <v>202</v>
      </c>
      <c r="BA140" s="103" t="s">
        <v>539</v>
      </c>
      <c r="BB140" s="10">
        <v>232551</v>
      </c>
      <c r="BE140" s="70"/>
      <c r="BF140" s="239"/>
    </row>
    <row r="141" spans="51:58" ht="12.75">
      <c r="AY141" s="103" t="s">
        <v>167</v>
      </c>
      <c r="AZ141" s="103" t="s">
        <v>168</v>
      </c>
      <c r="BA141" s="103" t="s">
        <v>539</v>
      </c>
      <c r="BB141" s="10">
        <v>350958</v>
      </c>
      <c r="BE141" s="70"/>
      <c r="BF141" s="239"/>
    </row>
    <row r="142" spans="51:58" ht="12.75">
      <c r="AY142" s="103" t="s">
        <v>153</v>
      </c>
      <c r="AZ142" s="103" t="s">
        <v>154</v>
      </c>
      <c r="BA142" s="103" t="s">
        <v>358</v>
      </c>
      <c r="BB142" s="10">
        <v>265654</v>
      </c>
      <c r="BE142" s="70"/>
      <c r="BF142" s="241"/>
    </row>
    <row r="143" spans="51:58" ht="12.75">
      <c r="AY143" s="103" t="s">
        <v>181</v>
      </c>
      <c r="AZ143" s="103" t="s">
        <v>182</v>
      </c>
      <c r="BA143" s="103" t="s">
        <v>358</v>
      </c>
      <c r="BB143" s="10">
        <v>284466</v>
      </c>
      <c r="BE143" s="70"/>
      <c r="BF143" s="249"/>
    </row>
    <row r="144" spans="51:58" ht="12.75">
      <c r="AY144" s="103" t="s">
        <v>146</v>
      </c>
      <c r="AZ144" s="103" t="s">
        <v>147</v>
      </c>
      <c r="BA144" s="103" t="s">
        <v>358</v>
      </c>
      <c r="BB144" s="10">
        <v>319933</v>
      </c>
      <c r="BE144" s="70"/>
      <c r="BF144" s="241"/>
    </row>
    <row r="145" spans="51:58" ht="12.75">
      <c r="AY145" s="103" t="s">
        <v>111</v>
      </c>
      <c r="AZ145" s="103" t="s">
        <v>112</v>
      </c>
      <c r="BA145" s="103" t="s">
        <v>358</v>
      </c>
      <c r="BB145" s="10">
        <v>192336</v>
      </c>
      <c r="BE145" s="248"/>
      <c r="BF145" s="249"/>
    </row>
    <row r="146" spans="51:58" ht="12.75">
      <c r="AY146" s="103" t="s">
        <v>237</v>
      </c>
      <c r="AZ146" s="103" t="s">
        <v>238</v>
      </c>
      <c r="BA146" s="103" t="s">
        <v>358</v>
      </c>
      <c r="BB146" s="10">
        <v>548313</v>
      </c>
      <c r="BF146" s="252"/>
    </row>
    <row r="147" spans="51:58" ht="12.75">
      <c r="AY147" s="103" t="s">
        <v>247</v>
      </c>
      <c r="AZ147" s="103" t="s">
        <v>248</v>
      </c>
      <c r="BA147" s="103" t="s">
        <v>358</v>
      </c>
      <c r="BB147" s="10">
        <v>287229</v>
      </c>
      <c r="BF147" s="252"/>
    </row>
    <row r="148" spans="51:58" ht="12.75">
      <c r="AY148" s="103" t="s">
        <v>222</v>
      </c>
      <c r="AZ148" s="103" t="s">
        <v>462</v>
      </c>
      <c r="BA148" s="103" t="s">
        <v>539</v>
      </c>
      <c r="BB148" s="10">
        <v>707573</v>
      </c>
      <c r="BF148" s="252"/>
    </row>
    <row r="149" spans="51:58" ht="12.75">
      <c r="AY149" s="103" t="s">
        <v>218</v>
      </c>
      <c r="AZ149" s="103" t="s">
        <v>219</v>
      </c>
      <c r="BA149" s="103" t="s">
        <v>539</v>
      </c>
      <c r="BB149" s="10">
        <v>825533</v>
      </c>
      <c r="BE149" s="248"/>
      <c r="BF149" s="249"/>
    </row>
    <row r="150" spans="51:58" ht="12.75">
      <c r="AY150" s="103" t="s">
        <v>196</v>
      </c>
      <c r="AZ150" s="103" t="s">
        <v>197</v>
      </c>
      <c r="BA150" s="103" t="s">
        <v>358</v>
      </c>
      <c r="BB150" s="10">
        <v>259945</v>
      </c>
      <c r="BF150" s="252"/>
    </row>
    <row r="151" spans="51:58" ht="12.75">
      <c r="AY151" s="103" t="s">
        <v>138</v>
      </c>
      <c r="AZ151" s="103" t="s">
        <v>139</v>
      </c>
      <c r="BA151" s="103" t="s">
        <v>358</v>
      </c>
      <c r="BB151" s="10">
        <v>246573</v>
      </c>
      <c r="BF151" s="252"/>
    </row>
    <row r="152" spans="51:58" ht="12.75">
      <c r="AY152" s="103" t="s">
        <v>266</v>
      </c>
      <c r="AZ152" s="103" t="s">
        <v>267</v>
      </c>
      <c r="BA152" s="103" t="s">
        <v>539</v>
      </c>
      <c r="BB152" s="10">
        <v>462395</v>
      </c>
      <c r="BE152" s="250"/>
      <c r="BF152" s="239"/>
    </row>
    <row r="153" spans="51:58" ht="12.75">
      <c r="AY153" s="103" t="s">
        <v>191</v>
      </c>
      <c r="AZ153" s="103" t="s">
        <v>192</v>
      </c>
      <c r="BA153" s="103" t="s">
        <v>358</v>
      </c>
      <c r="BB153" s="10">
        <v>332176</v>
      </c>
      <c r="BF153" s="252"/>
    </row>
    <row r="154" spans="51:58" ht="12.75">
      <c r="AY154" s="103" t="s">
        <v>161</v>
      </c>
      <c r="AZ154" s="103" t="s">
        <v>449</v>
      </c>
      <c r="BA154" s="103" t="s">
        <v>358</v>
      </c>
      <c r="BB154" s="10">
        <v>246213</v>
      </c>
      <c r="BE154" s="237"/>
      <c r="BF154" s="238"/>
    </row>
    <row r="155" spans="51:58" ht="12.75">
      <c r="AY155" s="103" t="s">
        <v>235</v>
      </c>
      <c r="AZ155" s="103" t="s">
        <v>236</v>
      </c>
      <c r="BA155" s="103" t="s">
        <v>539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565</v>
      </c>
      <c r="B3" s="56" t="s">
        <v>464</v>
      </c>
      <c r="C3" s="56" t="s">
        <v>24</v>
      </c>
    </row>
    <row r="4" spans="1:2" ht="12.75">
      <c r="A4" s="76">
        <v>1</v>
      </c>
      <c r="B4" s="78" t="s">
        <v>226</v>
      </c>
    </row>
    <row r="5" ht="12.75">
      <c r="A5" s="280" t="s">
        <v>565</v>
      </c>
    </row>
    <row r="6" ht="12.75">
      <c r="A6" s="280" t="s">
        <v>572</v>
      </c>
    </row>
    <row r="7" ht="12.75">
      <c r="A7" s="280" t="s">
        <v>571</v>
      </c>
    </row>
    <row r="8" ht="12.75">
      <c r="A8" s="280" t="s">
        <v>562</v>
      </c>
    </row>
    <row r="9" ht="12.75">
      <c r="A9" s="280" t="s">
        <v>544</v>
      </c>
    </row>
    <row r="10" ht="12.75">
      <c r="A10" s="280" t="s">
        <v>573</v>
      </c>
    </row>
    <row r="11" ht="12.75">
      <c r="A11" s="280" t="s">
        <v>585</v>
      </c>
    </row>
    <row r="12" ht="12.75">
      <c r="A12" s="280" t="s">
        <v>564</v>
      </c>
    </row>
    <row r="13" ht="12.75">
      <c r="A13" s="280" t="s">
        <v>581</v>
      </c>
    </row>
    <row r="14" ht="12.75">
      <c r="A14" s="280" t="s">
        <v>580</v>
      </c>
    </row>
    <row r="15" ht="12.75">
      <c r="A15" s="280" t="s">
        <v>578</v>
      </c>
    </row>
    <row r="16" ht="12.75">
      <c r="A16" s="280" t="s">
        <v>593</v>
      </c>
    </row>
    <row r="17" ht="12.75">
      <c r="A17" s="280" t="s">
        <v>552</v>
      </c>
    </row>
    <row r="18" ht="12.75">
      <c r="A18" s="280" t="s">
        <v>583</v>
      </c>
    </row>
    <row r="19" ht="12.75">
      <c r="A19" s="280" t="s">
        <v>584</v>
      </c>
    </row>
    <row r="20" ht="12.75">
      <c r="A20" s="280" t="s">
        <v>617</v>
      </c>
    </row>
    <row r="21" ht="12.75">
      <c r="A21" s="280" t="s">
        <v>623</v>
      </c>
    </row>
    <row r="22" ht="12.75">
      <c r="A22" s="280" t="s">
        <v>616</v>
      </c>
    </row>
    <row r="23" ht="12.75">
      <c r="A23" s="280" t="s">
        <v>612</v>
      </c>
    </row>
    <row r="24" ht="12.75">
      <c r="A24" s="280" t="s">
        <v>620</v>
      </c>
    </row>
    <row r="25" ht="12.75">
      <c r="A25" s="280" t="s">
        <v>615</v>
      </c>
    </row>
    <row r="26" ht="12.75">
      <c r="A26" s="280" t="s">
        <v>577</v>
      </c>
    </row>
    <row r="27" ht="12.75">
      <c r="A27" s="280" t="s">
        <v>621</v>
      </c>
    </row>
    <row r="28" ht="12.75">
      <c r="A28" s="280" t="s">
        <v>622</v>
      </c>
    </row>
    <row r="29" ht="12.75">
      <c r="A29" s="280" t="s">
        <v>626</v>
      </c>
    </row>
    <row r="30" ht="12.75">
      <c r="A30" s="280" t="s">
        <v>625</v>
      </c>
    </row>
    <row r="31" ht="12.75">
      <c r="A31" s="280" t="s">
        <v>599</v>
      </c>
    </row>
    <row r="32" ht="12.75">
      <c r="A32" s="280" t="s">
        <v>601</v>
      </c>
    </row>
    <row r="33" ht="12.75">
      <c r="A33" s="280" t="s">
        <v>619</v>
      </c>
    </row>
    <row r="34" ht="12.75">
      <c r="A34" s="280" t="s">
        <v>592</v>
      </c>
    </row>
    <row r="35" ht="12.75">
      <c r="A35" s="280" t="s">
        <v>613</v>
      </c>
    </row>
    <row r="36" ht="12.75">
      <c r="A36" s="280" t="s">
        <v>614</v>
      </c>
    </row>
    <row r="37" ht="12.75">
      <c r="A37" s="280" t="s">
        <v>627</v>
      </c>
    </row>
    <row r="38" ht="12.75">
      <c r="A38" s="280" t="s">
        <v>591</v>
      </c>
    </row>
    <row r="39" ht="12.75">
      <c r="A39" s="280" t="s">
        <v>550</v>
      </c>
    </row>
    <row r="40" ht="12.75">
      <c r="A40" s="280" t="s">
        <v>598</v>
      </c>
    </row>
    <row r="41" ht="12.75">
      <c r="A41" s="280" t="s">
        <v>624</v>
      </c>
    </row>
    <row r="42" ht="12.75">
      <c r="A42" s="280" t="s">
        <v>588</v>
      </c>
    </row>
    <row r="43" ht="12.75">
      <c r="A43" s="280" t="s">
        <v>569</v>
      </c>
    </row>
    <row r="44" ht="12.75">
      <c r="A44" s="280" t="s">
        <v>587</v>
      </c>
    </row>
    <row r="45" ht="12.75">
      <c r="A45" s="280" t="s">
        <v>545</v>
      </c>
    </row>
    <row r="46" ht="12.75">
      <c r="A46" s="280" t="s">
        <v>589</v>
      </c>
    </row>
    <row r="47" ht="12.75">
      <c r="A47" s="280" t="s">
        <v>549</v>
      </c>
    </row>
    <row r="48" ht="12.75">
      <c r="A48" s="280" t="s">
        <v>600</v>
      </c>
    </row>
    <row r="49" ht="12.75">
      <c r="A49" s="280" t="s">
        <v>566</v>
      </c>
    </row>
    <row r="50" ht="12.75">
      <c r="A50" s="280" t="s">
        <v>561</v>
      </c>
    </row>
    <row r="51" ht="12.75">
      <c r="A51" s="280" t="s">
        <v>551</v>
      </c>
    </row>
    <row r="52" ht="12.75">
      <c r="A52" s="280" t="s">
        <v>567</v>
      </c>
    </row>
    <row r="53" ht="12.75">
      <c r="A53" s="280" t="s">
        <v>586</v>
      </c>
    </row>
    <row r="54" ht="12.75">
      <c r="A54" s="280" t="s">
        <v>597</v>
      </c>
    </row>
    <row r="55" ht="12.75">
      <c r="A55" s="280" t="s">
        <v>618</v>
      </c>
    </row>
    <row r="56" ht="12.75">
      <c r="A56" s="280" t="s">
        <v>547</v>
      </c>
    </row>
    <row r="57" ht="12.75">
      <c r="A57" s="280" t="s">
        <v>559</v>
      </c>
    </row>
    <row r="58" ht="12.75">
      <c r="A58" s="280" t="s">
        <v>570</v>
      </c>
    </row>
    <row r="59" ht="12.75">
      <c r="A59" s="280" t="s">
        <v>595</v>
      </c>
    </row>
    <row r="60" ht="12.75">
      <c r="A60" s="280" t="s">
        <v>543</v>
      </c>
    </row>
    <row r="61" ht="12.75">
      <c r="A61" s="280" t="s">
        <v>556</v>
      </c>
    </row>
    <row r="62" ht="12.75">
      <c r="A62" s="280" t="s">
        <v>557</v>
      </c>
    </row>
    <row r="63" ht="12.75">
      <c r="A63" s="280" t="s">
        <v>554</v>
      </c>
    </row>
    <row r="64" ht="12.75">
      <c r="A64" s="280" t="s">
        <v>590</v>
      </c>
    </row>
    <row r="65" ht="12.75">
      <c r="A65" s="280" t="s">
        <v>596</v>
      </c>
    </row>
    <row r="66" ht="12.75">
      <c r="A66" s="280" t="s">
        <v>563</v>
      </c>
    </row>
    <row r="67" ht="12.75">
      <c r="A67" s="280" t="s">
        <v>575</v>
      </c>
    </row>
    <row r="68" ht="12.75">
      <c r="A68" s="280" t="s">
        <v>555</v>
      </c>
    </row>
    <row r="69" ht="12.75">
      <c r="A69" s="280" t="s">
        <v>594</v>
      </c>
    </row>
    <row r="70" ht="12.75">
      <c r="A70" s="280" t="s">
        <v>560</v>
      </c>
    </row>
    <row r="71" ht="12.75">
      <c r="A71" s="280" t="s">
        <v>546</v>
      </c>
    </row>
    <row r="72" ht="12.75">
      <c r="A72" s="280" t="s">
        <v>548</v>
      </c>
    </row>
    <row r="73" ht="12.75">
      <c r="A73" s="280" t="s">
        <v>582</v>
      </c>
    </row>
    <row r="74" ht="12.75">
      <c r="A74" s="280" t="s">
        <v>558</v>
      </c>
    </row>
    <row r="75" ht="12.75">
      <c r="A75" s="280" t="s">
        <v>553</v>
      </c>
    </row>
    <row r="76" ht="12.75">
      <c r="A76" s="280" t="s">
        <v>574</v>
      </c>
    </row>
    <row r="77" ht="12.75">
      <c r="A77" s="280" t="s">
        <v>576</v>
      </c>
    </row>
    <row r="78" ht="12.75">
      <c r="A78" s="280" t="s">
        <v>568</v>
      </c>
    </row>
    <row r="79" ht="12.75">
      <c r="A79" s="280" t="s">
        <v>579</v>
      </c>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