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<sst xmlns="http://schemas.openxmlformats.org/spreadsheetml/2006/main" count="1437" uniqueCount="581">
  <si>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</si>
  <si>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</si>
  <si>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</si>
  <si>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</si>
  <si>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</si>
  <si>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</si>
  <si>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</si>
  <si>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</si>
  <si>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</si>
  <si>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</si>
  <si>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</si>
  <si>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</si>
  <si>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</si>
  <si>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</si>
  <si>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</si>
  <si>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</si>
  <si>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</si>
  <si>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</si>
  <si>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</si>
  <si>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</si>
  <si>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</si>
  <si>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</si>
  <si>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</si>
  <si>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</si>
  <si>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</si>
  <si>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</si>
  <si>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</si>
  <si>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</si>
  <si>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</si>
  <si>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</si>
  <si>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</si>
  <si>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</si>
  <si>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</si>
  <si>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</si>
  <si>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</si>
  <si>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</si>
  <si>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</si>
  <si>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</si>
  <si>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</si>
  <si>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</si>
  <si>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</si>
  <si>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</si>
  <si>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</si>
  <si>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</si>
  <si>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</si>
  <si>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</si>
  <si>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</si>
  <si>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</si>
  <si>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</si>
  <si>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</si>
  <si>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</si>
  <si>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</si>
  <si>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</si>
  <si>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</si>
  <si>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</si>
  <si>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</si>
  <si>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</si>
  <si>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</si>
  <si>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</si>
  <si>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</si>
  <si>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</si>
  <si>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</si>
  <si>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</si>
  <si>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</si>
  <si>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</si>
  <si>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</si>
  <si>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</si>
  <si>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</si>
  <si>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</si>
  <si>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</si>
  <si>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</si>
  <si>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</si>
  <si>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</si>
  <si>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</si>
  <si>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</si>
  <si>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</si>
  <si>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</si>
  <si>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</si>
  <si>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</si>
  <si>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</si>
  <si>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</si>
  <si>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</si>
  <si>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</si>
  <si>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</si>
  <si>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</si>
  <si>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</si>
  <si>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</si>
  <si>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</si>
  <si>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</si>
  <si>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</si>
  <si>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</si>
  <si>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</si>
  <si>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</si>
  <si>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</si>
  <si>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</si>
  <si>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</si>
  <si>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</si>
  <si>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</si>
  <si>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</si>
  <si>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</si>
  <si>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</si>
  <si>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</si>
  <si>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</si>
  <si>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</si>
  <si>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</si>
  <si>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</si>
  <si>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</si>
  <si>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</si>
  <si>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</si>
  <si>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</si>
  <si>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</si>
  <si>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</si>
  <si>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</si>
  <si>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</si>
  <si>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</si>
  <si>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</si>
  <si>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</si>
  <si>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</si>
  <si>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</si>
  <si>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</si>
  <si>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</si>
  <si>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</si>
  <si>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</si>
  <si>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</si>
  <si>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</si>
  <si>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</si>
  <si>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</si>
  <si>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</si>
  <si>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</si>
  <si>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</si>
  <si>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</si>
  <si>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</si>
  <si>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</si>
  <si>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</si>
  <si>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</si>
  <si>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</si>
  <si>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</si>
  <si>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</si>
  <si>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</si>
  <si>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</si>
  <si>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</si>
  <si>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</si>
  <si>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</si>
  <si>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</si>
  <si>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</si>
  <si>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</si>
  <si>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</si>
  <si>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</si>
  <si>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</si>
  <si>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</si>
  <si>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</si>
  <si>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</si>
  <si>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</si>
  <si>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</si>
  <si>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</si>
  <si>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</si>
  <si>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</si>
  <si>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</si>
  <si>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</si>
  <si>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</si>
  <si>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</si>
  <si>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</si>
  <si>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</si>
  <si>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</si>
  <si>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</si>
  <si>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</si>
  <si>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</si>
  <si>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</si>
  <si>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</si>
  <si>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</si>
  <si>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</si>
  <si>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</si>
  <si>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</si>
  <si>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</si>
  <si>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</si>
  <si>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</si>
  <si>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</si>
  <si>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</si>
  <si>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</si>
  <si>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</si>
  <si>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</si>
  <si>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</si>
  <si>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</si>
  <si>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</si>
  <si>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</si>
  <si>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</si>
  <si>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</si>
  <si>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</si>
  <si>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</si>
  <si>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</si>
  <si>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</si>
  <si>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</si>
  <si>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</si>
  <si>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</si>
  <si>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</si>
  <si>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</si>
  <si>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</si>
  <si>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</si>
  <si>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</si>
  <si>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</si>
  <si>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</si>
  <si>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</si>
  <si>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</si>
  <si>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</si>
  <si>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</si>
  <si>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</si>
  <si>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</si>
  <si>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</si>
  <si>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</si>
  <si>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</si>
  <si>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</si>
  <si>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</si>
  <si>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</si>
  <si>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</si>
  <si>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</si>
  <si>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</si>
  <si>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</si>
  <si>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</si>
  <si>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</si>
  <si>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</si>
  <si>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</si>
  <si>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</si>
  <si>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</si>
  <si>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</si>
  <si>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</si>
  <si>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</si>
  <si>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</si>
  <si>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</si>
  <si>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</si>
  <si>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</si>
  <si>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</si>
  <si>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</si>
  <si>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</si>
  <si>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</si>
  <si>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</si>
  <si>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</si>
  <si>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</si>
  <si>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</si>
  <si>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</si>
  <si>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</si>
  <si>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</si>
  <si>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</si>
  <si>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</si>
  <si>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</si>
  <si>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</si>
  <si>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</si>
  <si>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</si>
  <si>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</si>
  <si>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</si>
  <si>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</si>
  <si>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</si>
  <si>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</si>
  <si>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</si>
  <si>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</si>
  <si>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</si>
  <si>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</si>
  <si>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</si>
  <si>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</si>
  <si>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</si>
  <si>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</si>
  <si>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</si>
  <si>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</si>
  <si>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</si>
  <si>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</si>
  <si>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</si>
  <si>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</si>
  <si>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</si>
  <si>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</si>
  <si>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</si>
  <si>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</si>
  <si>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</si>
  <si>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</si>
  <si>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</si>
  <si>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</si>
  <si>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</si>
  <si>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</si>
  <si>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</si>
  <si>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</si>
  <si>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</si>
  <si>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</si>
  <si>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</si>
  <si>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</si>
  <si>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N81002</t>
  </si>
  <si>
    <t>N81008</t>
  </si>
  <si>
    <t>N81010</t>
  </si>
  <si>
    <t>N81013</t>
  </si>
  <si>
    <t>N81015</t>
  </si>
  <si>
    <t>N81016</t>
  </si>
  <si>
    <t>N81021</t>
  </si>
  <si>
    <t>N81022</t>
  </si>
  <si>
    <t>N81024</t>
  </si>
  <si>
    <t>N81025</t>
  </si>
  <si>
    <t>N81026</t>
  </si>
  <si>
    <t>N81027</t>
  </si>
  <si>
    <t>N81029</t>
  </si>
  <si>
    <t>N81032</t>
  </si>
  <si>
    <t>N81033</t>
  </si>
  <si>
    <t>N81039</t>
  </si>
  <si>
    <t>N81040</t>
  </si>
  <si>
    <t>N81042</t>
  </si>
  <si>
    <t>N81043</t>
  </si>
  <si>
    <t>N81044</t>
  </si>
  <si>
    <t>N81047</t>
  </si>
  <si>
    <t>N81049</t>
  </si>
  <si>
    <t>N81051</t>
  </si>
  <si>
    <t>N81052</t>
  </si>
  <si>
    <t>N81053</t>
  </si>
  <si>
    <t>N81055</t>
  </si>
  <si>
    <t>N81061</t>
  </si>
  <si>
    <t>N81062</t>
  </si>
  <si>
    <t>N81067</t>
  </si>
  <si>
    <t>N81068</t>
  </si>
  <si>
    <t>N81069</t>
  </si>
  <si>
    <t>N81070</t>
  </si>
  <si>
    <t>N81071</t>
  </si>
  <si>
    <t>N81073</t>
  </si>
  <si>
    <t>N81074</t>
  </si>
  <si>
    <t>N81077</t>
  </si>
  <si>
    <t>N81084</t>
  </si>
  <si>
    <t>N81085</t>
  </si>
  <si>
    <t>N81086</t>
  </si>
  <si>
    <t>N81088</t>
  </si>
  <si>
    <t>N81090</t>
  </si>
  <si>
    <t>N81111</t>
  </si>
  <si>
    <t>N81112</t>
  </si>
  <si>
    <t>N81113</t>
  </si>
  <si>
    <t>N81118</t>
  </si>
  <si>
    <t>N81123</t>
  </si>
  <si>
    <t>N81127</t>
  </si>
  <si>
    <t>N81632</t>
  </si>
  <si>
    <t>N81633</t>
  </si>
  <si>
    <t>N81642</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</si>
  <si>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</si>
  <si>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</si>
  <si>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</si>
  <si>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</si>
  <si>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</si>
  <si>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</si>
  <si>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</si>
  <si>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</si>
  <si>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</si>
  <si>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</si>
  <si>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</si>
  <si>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</si>
  <si>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</si>
  <si>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</si>
  <si>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</si>
  <si>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</si>
  <si>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</si>
  <si>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</si>
  <si>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</si>
  <si>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</si>
  <si>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</si>
  <si>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</si>
  <si>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</si>
  <si>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</si>
  <si>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</si>
  <si>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</si>
  <si>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</si>
  <si>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</si>
  <si>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</si>
  <si>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</si>
  <si>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</si>
  <si>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</si>
  <si>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</si>
  <si>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</si>
  <si>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</si>
  <si>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</si>
  <si>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</si>
  <si>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</si>
  <si>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</si>
  <si>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</si>
  <si>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</si>
  <si>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</si>
  <si>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</si>
  <si>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</si>
  <si>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</si>
  <si>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</si>
  <si>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</si>
  <si>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</si>
  <si>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</si>
  <si>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</si>
  <si>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</si>
  <si>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</si>
  <si>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</si>
  <si>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</si>
  <si>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</si>
  <si>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</si>
  <si>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</si>
  <si>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</si>
  <si>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</si>
  <si>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</si>
  <si>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</si>
  <si>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</si>
  <si>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</si>
  <si>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</si>
  <si>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</si>
  <si>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</si>
  <si>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</si>
  <si>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</si>
  <si>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</si>
  <si>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</si>
  <si>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</si>
  <si>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</si>
  <si>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</si>
  <si>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</si>
  <si>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</si>
  <si>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</si>
  <si>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</si>
  <si>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</si>
  <si>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</si>
  <si>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</si>
  <si>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</si>
  <si>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</si>
  <si>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</si>
  <si>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</si>
  <si>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</si>
  <si>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</si>
  <si>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</si>
  <si>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</si>
  <si>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</si>
  <si>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</si>
  <si>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</si>
  <si>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</si>
  <si>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</si>
  <si>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</si>
  <si>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</si>
  <si>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</si>
  <si>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</si>
  <si>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</si>
  <si>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</si>
  <si>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</si>
  <si>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</si>
  <si>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</si>
  <si>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</si>
  <si>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</si>
  <si>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</si>
  <si>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</si>
  <si>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</si>
  <si>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</si>
  <si>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</si>
  <si>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</si>
  <si>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</si>
  <si>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</si>
  <si>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</si>
  <si>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</si>
  <si>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</si>
  <si>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</si>
  <si>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</si>
  <si>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</si>
  <si>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</si>
  <si>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</si>
  <si>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</si>
  <si>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</si>
  <si>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</si>
  <si>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</si>
  <si>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</si>
  <si>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</si>
  <si>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</si>
  <si>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</si>
  <si>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</si>
  <si>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</si>
  <si>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</si>
  <si>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</si>
  <si>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</si>
  <si>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</si>
  <si>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</si>
  <si>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</si>
  <si>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</si>
  <si>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</si>
  <si>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</si>
  <si>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</si>
  <si>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</si>
  <si>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</si>
  <si>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</si>
  <si>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</si>
  <si>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</si>
  <si>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</si>
  <si>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</si>
  <si>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</si>
  <si>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</si>
  <si>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</si>
  <si>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</si>
  <si>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</si>
  <si>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</si>
  <si>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</si>
  <si>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</si>
  <si>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</si>
  <si>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</si>
  <si>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</si>
  <si>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</si>
  <si>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</si>
  <si>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</si>
  <si>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</si>
  <si>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</si>
  <si>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</si>
  <si>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</si>
  <si>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N81087</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</si>
  <si>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</si>
  <si>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</si>
  <si>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</si>
  <si>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</si>
  <si>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</si>
  <si>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</si>
  <si>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</si>
  <si>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</si>
  <si>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</si>
  <si>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</si>
  <si>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</si>
  <si>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</si>
  <si>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</si>
  <si>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</si>
  <si>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</si>
  <si>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</si>
  <si>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</si>
  <si>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</si>
  <si>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</si>
  <si>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</si>
  <si>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(N81002) KENMORE MEDICAL CENTRE</t>
  </si>
  <si>
    <t>(N81008) THE CEDARS MEDICAL CENTRE</t>
  </si>
  <si>
    <t>(N81010) NANTWICH HEALTH CENTRE</t>
  </si>
  <si>
    <t>(N81013) HIGH STREET SURGERY</t>
  </si>
  <si>
    <t>(N81015) THE DELAMERE PRACTICE</t>
  </si>
  <si>
    <t>(N81016) MILLCROFT MEDICAL CENTRE</t>
  </si>
  <si>
    <t>(N81021) MCILVIRIDE MEDICAL PRACTICE</t>
  </si>
  <si>
    <t>(N81022) BOLLINGTON MEDICAL CENTRE</t>
  </si>
  <si>
    <t>(N81024) SWANLOW MEDICAL CENTRE</t>
  </si>
  <si>
    <t>(N81025) FIRDALE MEDICAL CENTRE</t>
  </si>
  <si>
    <t>(N81026) TOFT ROAD SURGERY</t>
  </si>
  <si>
    <t>(N81027) READESMOOR MEDICAL GROUP PRACTICE</t>
  </si>
  <si>
    <t>(N81029) SOUTH PARK SURGERY</t>
  </si>
  <si>
    <t>(N81033) GEORGE STREET SURGERY</t>
  </si>
  <si>
    <t>(N81039) OAKLANDS</t>
  </si>
  <si>
    <t>(N81040) HIGH STREET PRACTICE WINSFORD</t>
  </si>
  <si>
    <t>(N81042) MANCHESTER ROAD MEDICAL CENTRE</t>
  </si>
  <si>
    <t>(N81043) HASLINGTON SURGERY</t>
  </si>
  <si>
    <t>(N81047) THE KILTEARN MEDICAL CENTRE</t>
  </si>
  <si>
    <t>(N81049) ANNANDALE MEDICAL CENTRE</t>
  </si>
  <si>
    <t>(N81051) THE WEAVERHAM SURGERY</t>
  </si>
  <si>
    <t>(N81052) LAWTON HOUSE SURGERY</t>
  </si>
  <si>
    <t>(N81053) EARNSWOOD MEDICAL CENTRE</t>
  </si>
  <si>
    <t>(N81055) WATLING STREET SURGERY</t>
  </si>
  <si>
    <t>(N81061) WITTON STREET SURGERY</t>
  </si>
  <si>
    <t>(N81062) CUMBERLAND HOUSE SURGERY</t>
  </si>
  <si>
    <t>(N81067) OAKWOOD MEDICAL CENTRE</t>
  </si>
  <si>
    <t>(N81068) GROSVENOR MEDICAL CENTRE</t>
  </si>
  <si>
    <t>(N81069) CHELFORD SURGERY</t>
  </si>
  <si>
    <t>(N81070) HANDFORTH HEALTH CENTRE</t>
  </si>
  <si>
    <t>(N81071) CINDERHILL LANE SURGERY</t>
  </si>
  <si>
    <t>(N81073) PRIORSLEGH MEDICAL CENTRE</t>
  </si>
  <si>
    <t>(N81074) LAUNCESTON CLOSE SURGERY</t>
  </si>
  <si>
    <t>(N81077) THE HEALTH CENTRE (HOLMES CHAPEL)</t>
  </si>
  <si>
    <t>(N81084) ROPE GREEN MEDICAL CENTRE</t>
  </si>
  <si>
    <t>(N81085) PARK LANE HOUSE MEDICAL CENTRE</t>
  </si>
  <si>
    <t>(N81086) WILMSLOW HEALTH CENTRE</t>
  </si>
  <si>
    <t>(N81087) DANEBRIDGE MEDICAL CENTRE</t>
  </si>
  <si>
    <t>(N81088) PARK GREEN SURGERY</t>
  </si>
  <si>
    <t>(N81090) TUDOR SURGERY</t>
  </si>
  <si>
    <t>(N81111) MEREPARK MEDICAL CENTRE</t>
  </si>
  <si>
    <t>(N81112) THE SCHOOLHOUSE SURGERY</t>
  </si>
  <si>
    <t>(N81113) MIDDLEWICH ROAD SURGERY</t>
  </si>
  <si>
    <t>(N81118) MEADOWSIDE MEDICAL CENTRE</t>
  </si>
  <si>
    <t>(N81123) WILLOW WOOD SURGERY</t>
  </si>
  <si>
    <t>(N81127) THE WEAVER VALE SURGERY</t>
  </si>
  <si>
    <t>(N81632) BROKEN CROSS SURGERY</t>
  </si>
  <si>
    <t>(N81633) RIVERSIDE MEDICAL PRACTICE</t>
  </si>
  <si>
    <t>(N81642) THE ACORNS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</si>
  <si>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</si>
  <si>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</si>
  <si>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</si>
  <si>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</si>
  <si>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</si>
  <si>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</si>
  <si>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</si>
  <si>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</si>
  <si>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</si>
  <si>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</si>
  <si>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(N81032) ASHFIELDS P-CARE CENTRE</t>
  </si>
  <si>
    <t>(N81044) DP GPS HARDY + PTNRS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</si>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</sst>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0.9949576948184016</c:v>
                </c:pt>
                <c:pt idx="3">
                  <c:v>1</c:v>
                </c:pt>
                <c:pt idx="4">
                  <c:v>0.9442089731726606</c:v>
                </c:pt>
                <c:pt idx="5">
                  <c:v>0.8342303026366445</c:v>
                </c:pt>
                <c:pt idx="6">
                  <c:v>1</c:v>
                </c:pt>
                <c:pt idx="7">
                  <c:v>0.8677434510085328</c:v>
                </c:pt>
                <c:pt idx="8">
                  <c:v>0.8176182757077104</c:v>
                </c:pt>
                <c:pt idx="9">
                  <c:v>0.865991987425545</c:v>
                </c:pt>
                <c:pt idx="10">
                  <c:v>0.968500324888098</c:v>
                </c:pt>
                <c:pt idx="11">
                  <c:v>1</c:v>
                </c:pt>
                <c:pt idx="12">
                  <c:v>1</c:v>
                </c:pt>
                <c:pt idx="13">
                  <c:v>0</c:v>
                </c:pt>
                <c:pt idx="14">
                  <c:v>1</c:v>
                </c:pt>
                <c:pt idx="15">
                  <c:v>0.7680196103216288</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0.6144828500818427</c:v>
                </c:pt>
                <c:pt idx="3">
                  <c:v>0.604166669253674</c:v>
                </c:pt>
                <c:pt idx="4">
                  <c:v>0.6479179743505662</c:v>
                </c:pt>
                <c:pt idx="5">
                  <c:v>0.5861265094111748</c:v>
                </c:pt>
                <c:pt idx="6">
                  <c:v>0.6000000186264519</c:v>
                </c:pt>
                <c:pt idx="7">
                  <c:v>0.6249207096542714</c:v>
                </c:pt>
                <c:pt idx="8">
                  <c:v>0.588269144920845</c:v>
                </c:pt>
                <c:pt idx="9">
                  <c:v>0.6092643215666783</c:v>
                </c:pt>
                <c:pt idx="10">
                  <c:v>0.656392642919457</c:v>
                </c:pt>
                <c:pt idx="11">
                  <c:v>0.6890517911606544</c:v>
                </c:pt>
                <c:pt idx="12">
                  <c:v>0.5986994790357458</c:v>
                </c:pt>
                <c:pt idx="13">
                  <c:v>0</c:v>
                </c:pt>
                <c:pt idx="14">
                  <c:v>0.5506502224579571</c:v>
                </c:pt>
                <c:pt idx="15">
                  <c:v>0.6108387442056998</c:v>
                </c:pt>
                <c:pt idx="16">
                  <c:v>0.5667385896907826</c:v>
                </c:pt>
                <c:pt idx="17">
                  <c:v>0.6405788872203082</c:v>
                </c:pt>
                <c:pt idx="18">
                  <c:v>0.6604682199170994</c:v>
                </c:pt>
                <c:pt idx="19">
                  <c:v>0.5774048671433616</c:v>
                </c:pt>
                <c:pt idx="20">
                  <c:v>0.6848110404120872</c:v>
                </c:pt>
                <c:pt idx="21">
                  <c:v>0.6231795210873915</c:v>
                </c:pt>
                <c:pt idx="22">
                  <c:v>0.6103425929158711</c:v>
                </c:pt>
                <c:pt idx="23">
                  <c:v>0.5826467490395484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0.3376413725525827</c:v>
                </c:pt>
                <c:pt idx="3">
                  <c:v>0.4166666459706077</c:v>
                </c:pt>
                <c:pt idx="4">
                  <c:v>0.3664721711289574</c:v>
                </c:pt>
                <c:pt idx="5">
                  <c:v>0.3530658122555358</c:v>
                </c:pt>
                <c:pt idx="6">
                  <c:v>0.30000000931322596</c:v>
                </c:pt>
                <c:pt idx="7">
                  <c:v>0.3746435403789082</c:v>
                </c:pt>
                <c:pt idx="8">
                  <c:v>0.3477028905953158</c:v>
                </c:pt>
                <c:pt idx="9">
                  <c:v>0.3831539130815593</c:v>
                </c:pt>
                <c:pt idx="10">
                  <c:v>0.31171350296156025</c:v>
                </c:pt>
                <c:pt idx="11">
                  <c:v>0.3701152922933989</c:v>
                </c:pt>
                <c:pt idx="12">
                  <c:v>0.3120277156734719</c:v>
                </c:pt>
                <c:pt idx="13">
                  <c:v>0</c:v>
                </c:pt>
                <c:pt idx="14">
                  <c:v>0.4456378332384486</c:v>
                </c:pt>
                <c:pt idx="15">
                  <c:v>0.39332646505898816</c:v>
                </c:pt>
                <c:pt idx="16">
                  <c:v>0.4158931557071397</c:v>
                </c:pt>
                <c:pt idx="17">
                  <c:v>0.3642240014732575</c:v>
                </c:pt>
                <c:pt idx="18">
                  <c:v>0.37308377979794144</c:v>
                </c:pt>
                <c:pt idx="19">
                  <c:v>0.4569176040648249</c:v>
                </c:pt>
                <c:pt idx="20">
                  <c:v>0.3975421632641849</c:v>
                </c:pt>
                <c:pt idx="21">
                  <c:v>0.4127689483030293</c:v>
                </c:pt>
                <c:pt idx="22">
                  <c:v>0.40691194729320906</c:v>
                </c:pt>
                <c:pt idx="23">
                  <c:v>0.42136792517689636</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0.2916666304485635</c:v>
                </c:pt>
                <c:pt idx="4">
                  <c:v>0</c:v>
                </c:pt>
                <c:pt idx="5">
                  <c:v>0</c:v>
                </c:pt>
                <c:pt idx="6">
                  <c:v>0.05000000931322596</c:v>
                </c:pt>
                <c:pt idx="7">
                  <c:v>0</c:v>
                </c:pt>
                <c:pt idx="8">
                  <c:v>0</c:v>
                </c:pt>
                <c:pt idx="9">
                  <c:v>0</c:v>
                </c:pt>
                <c:pt idx="10">
                  <c:v>0</c:v>
                </c:pt>
                <c:pt idx="11">
                  <c:v>0.1382031904602358</c:v>
                </c:pt>
                <c:pt idx="12">
                  <c:v>0.03565084177657326</c:v>
                </c:pt>
                <c:pt idx="13">
                  <c:v>0</c:v>
                </c:pt>
                <c:pt idx="14">
                  <c:v>0.2700253560273336</c:v>
                </c:pt>
                <c:pt idx="15">
                  <c:v>0</c:v>
                </c:pt>
                <c:pt idx="16">
                  <c:v>0.2667644922499487</c:v>
                </c:pt>
                <c:pt idx="17">
                  <c:v>0.13391298189343784</c:v>
                </c:pt>
                <c:pt idx="18">
                  <c:v>0.22095532367933515</c:v>
                </c:pt>
                <c:pt idx="19">
                  <c:v>0.36561006328863743</c:v>
                </c:pt>
                <c:pt idx="20">
                  <c:v>0.13536446056830492</c:v>
                </c:pt>
                <c:pt idx="21">
                  <c:v>0.17084766718442818</c:v>
                </c:pt>
                <c:pt idx="22">
                  <c:v>0.20869921149298135</c:v>
                </c:pt>
                <c:pt idx="23">
                  <c:v>0.12991634376607056</c:v>
                </c:pt>
                <c:pt idx="24">
                  <c:v>0</c:v>
                </c:pt>
                <c:pt idx="25">
                  <c:v>0</c:v>
                </c:pt>
                <c:pt idx="26">
                  <c:v>0</c:v>
                </c:pt>
              </c:numCache>
            </c:numRef>
          </c:val>
        </c:ser>
        <c:overlap val="100"/>
        <c:gapWidth val="100"/>
        <c:axId val="27187947"/>
        <c:axId val="4336493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0.34799789517810026</c:v>
                </c:pt>
                <c:pt idx="3">
                  <c:v>0.7504554351037055</c:v>
                </c:pt>
                <c:pt idx="4">
                  <c:v>0.37964213405748937</c:v>
                </c:pt>
                <c:pt idx="5">
                  <c:v>0.4211333656984183</c:v>
                </c:pt>
                <c:pt idx="6">
                  <c:v>0.34703634425474794</c:v>
                </c:pt>
                <c:pt idx="7">
                  <c:v>0.37668437521267567</c:v>
                </c:pt>
                <c:pt idx="8">
                  <c:v>0.5277217778354651</c:v>
                </c:pt>
                <c:pt idx="9">
                  <c:v>0.3637132192281295</c:v>
                </c:pt>
                <c:pt idx="10">
                  <c:v>0.2582888166297531</c:v>
                </c:pt>
                <c:pt idx="11">
                  <c:v>0.46220748451255395</c:v>
                </c:pt>
                <c:pt idx="12">
                  <c:v>0.562655757126797</c:v>
                </c:pt>
                <c:pt idx="13">
                  <c:v>0.5</c:v>
                </c:pt>
                <c:pt idx="14">
                  <c:v>0.46748924719635127</c:v>
                </c:pt>
                <c:pt idx="15">
                  <c:v>0.5788795664829722</c:v>
                </c:pt>
                <c:pt idx="16">
                  <c:v>0.5092180091021199</c:v>
                </c:pt>
                <c:pt idx="17">
                  <c:v>0.5627853420555847</c:v>
                </c:pt>
                <c:pt idx="18">
                  <c:v>0.5800237635773661</c:v>
                </c:pt>
                <c:pt idx="19">
                  <c:v>0.5691695498019483</c:v>
                </c:pt>
                <c:pt idx="20">
                  <c:v>0.7232741351343183</c:v>
                </c:pt>
                <c:pt idx="21">
                  <c:v>0.18805352191824934</c:v>
                </c:pt>
                <c:pt idx="22">
                  <c:v>0.39695838747152845</c:v>
                </c:pt>
                <c:pt idx="23">
                  <c:v>0.440624005029951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0.5416666552838343</c:v>
                </c:pt>
                <c:pt idx="4">
                  <c:v>0.4462428112494158</c:v>
                </c:pt>
                <c:pt idx="5">
                  <c:v>0.5350643576059605</c:v>
                </c:pt>
                <c:pt idx="6">
                  <c:v>0.5000000305473811</c:v>
                </c:pt>
                <c:pt idx="7">
                  <c:v>-999</c:v>
                </c:pt>
                <c:pt idx="8">
                  <c:v>-999</c:v>
                </c:pt>
                <c:pt idx="9">
                  <c:v>-999</c:v>
                </c:pt>
                <c:pt idx="10">
                  <c:v>0.38405272761910597</c:v>
                </c:pt>
                <c:pt idx="11">
                  <c:v>0.6271282183976699</c:v>
                </c:pt>
                <c:pt idx="12">
                  <c:v>0.4299421112406045</c:v>
                </c:pt>
                <c:pt idx="13">
                  <c:v>-999</c:v>
                </c:pt>
                <c:pt idx="14">
                  <c:v>0.441531361329855</c:v>
                </c:pt>
                <c:pt idx="15">
                  <c:v>0.6063478608712155</c:v>
                </c:pt>
                <c:pt idx="16">
                  <c:v>0.5342799876883424</c:v>
                </c:pt>
                <c:pt idx="17">
                  <c:v>0.3651188354233914</c:v>
                </c:pt>
                <c:pt idx="18">
                  <c:v>0.8708552637969131</c:v>
                </c:pt>
                <c:pt idx="19">
                  <c:v>-999</c:v>
                </c:pt>
                <c:pt idx="20">
                  <c:v>0.6747425127857567</c:v>
                </c:pt>
                <c:pt idx="21">
                  <c:v>0.4456521744670407</c:v>
                </c:pt>
                <c:pt idx="22">
                  <c:v>0.49217446353569383</c:v>
                </c:pt>
                <c:pt idx="23">
                  <c:v>0.4298839835225185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0.6769502909051471</c:v>
                </c:pt>
                <c:pt idx="3">
                  <c:v>-999</c:v>
                </c:pt>
                <c:pt idx="4">
                  <c:v>-999</c:v>
                </c:pt>
                <c:pt idx="5">
                  <c:v>-999</c:v>
                </c:pt>
                <c:pt idx="6">
                  <c:v>-999</c:v>
                </c:pt>
                <c:pt idx="7">
                  <c:v>0.3753969179442692</c:v>
                </c:pt>
                <c:pt idx="8">
                  <c:v>0.33565358920266575</c:v>
                </c:pt>
                <c:pt idx="9">
                  <c:v>0.331623448332191</c:v>
                </c:pt>
                <c:pt idx="10">
                  <c:v>-999</c:v>
                </c:pt>
                <c:pt idx="11">
                  <c:v>-999</c:v>
                </c:pt>
                <c:pt idx="12">
                  <c:v>-999</c:v>
                </c:pt>
                <c:pt idx="13">
                  <c:v>0.3010460463045271</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4740069"/>
        <c:axId val="22898574"/>
      </c:scatterChart>
      <c:catAx>
        <c:axId val="27187947"/>
        <c:scaling>
          <c:orientation val="maxMin"/>
        </c:scaling>
        <c:axPos val="l"/>
        <c:delete val="0"/>
        <c:numFmt formatCode="General" sourceLinked="1"/>
        <c:majorTickMark val="out"/>
        <c:minorTickMark val="none"/>
        <c:tickLblPos val="none"/>
        <c:spPr>
          <a:ln w="3175">
            <a:noFill/>
          </a:ln>
        </c:spPr>
        <c:crossAx val="43364932"/>
        <c:crosses val="autoZero"/>
        <c:auto val="1"/>
        <c:lblOffset val="100"/>
        <c:tickLblSkip val="1"/>
        <c:noMultiLvlLbl val="0"/>
      </c:catAx>
      <c:valAx>
        <c:axId val="43364932"/>
        <c:scaling>
          <c:orientation val="minMax"/>
          <c:max val="1"/>
          <c:min val="0"/>
        </c:scaling>
        <c:axPos val="t"/>
        <c:delete val="0"/>
        <c:numFmt formatCode="General" sourceLinked="1"/>
        <c:majorTickMark val="none"/>
        <c:minorTickMark val="none"/>
        <c:tickLblPos val="none"/>
        <c:spPr>
          <a:ln w="3175">
            <a:noFill/>
          </a:ln>
        </c:spPr>
        <c:crossAx val="27187947"/>
        <c:crossesAt val="1"/>
        <c:crossBetween val="between"/>
        <c:dispUnits/>
        <c:majorUnit val="1"/>
      </c:valAx>
      <c:valAx>
        <c:axId val="54740069"/>
        <c:scaling>
          <c:orientation val="minMax"/>
          <c:max val="1"/>
          <c:min val="0"/>
        </c:scaling>
        <c:axPos val="t"/>
        <c:delete val="0"/>
        <c:numFmt formatCode="General" sourceLinked="1"/>
        <c:majorTickMark val="none"/>
        <c:minorTickMark val="none"/>
        <c:tickLblPos val="none"/>
        <c:spPr>
          <a:ln w="3175">
            <a:noFill/>
          </a:ln>
        </c:spPr>
        <c:crossAx val="22898574"/>
        <c:crosses val="max"/>
        <c:crossBetween val="midCat"/>
        <c:dispUnits/>
        <c:majorUnit val="0.1"/>
        <c:minorUnit val="0.020000000000000004"/>
      </c:valAx>
      <c:valAx>
        <c:axId val="22898574"/>
        <c:scaling>
          <c:orientation val="maxMin"/>
          <c:max val="29"/>
          <c:min val="0"/>
        </c:scaling>
        <c:axPos val="l"/>
        <c:delete val="0"/>
        <c:numFmt formatCode="General" sourceLinked="1"/>
        <c:majorTickMark val="none"/>
        <c:minorTickMark val="none"/>
        <c:tickLblPos val="none"/>
        <c:spPr>
          <a:ln w="3175">
            <a:noFill/>
          </a:ln>
        </c:spPr>
        <c:crossAx val="5474006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(N81049) ANNANDALE MEDICAL CENTRE, CENTRAL AND EASTERN CHESHIRE PCT (5NP)</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486</v>
      </c>
      <c r="Q3" s="65"/>
      <c r="R3" s="66"/>
      <c r="S3" s="66"/>
      <c r="T3" s="66"/>
      <c r="U3" s="66"/>
      <c r="V3" s="66"/>
      <c r="W3" s="66"/>
      <c r="X3" s="66"/>
      <c r="Y3" s="66"/>
      <c r="Z3" s="66"/>
      <c r="AA3" s="66"/>
      <c r="AB3" s="66"/>
      <c r="AC3" s="66"/>
    </row>
    <row r="4" spans="2:29" ht="18" customHeight="1">
      <c r="B4" s="319" t="s">
        <v>570</v>
      </c>
      <c r="C4" s="320"/>
      <c r="D4" s="320"/>
      <c r="E4" s="320"/>
      <c r="F4" s="320"/>
      <c r="G4" s="321"/>
      <c r="H4" s="112"/>
      <c r="I4" s="112"/>
      <c r="J4" s="112"/>
      <c r="K4" s="112"/>
      <c r="L4" s="113"/>
      <c r="M4" s="65"/>
      <c r="N4" s="65"/>
      <c r="O4" s="65"/>
      <c r="P4" s="134" t="s">
        <v>487</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488</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383</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569</v>
      </c>
      <c r="C8" s="115"/>
      <c r="D8" s="115"/>
      <c r="E8" s="128">
        <f>VLOOKUP('Hide - Control'!A$3,'All practice data'!A:CA,4,FALSE)</f>
        <v>5604</v>
      </c>
      <c r="F8" s="310" t="str">
        <f>VLOOKUP('Hide - Control'!B4,'Hide - Calculation'!AY:BA,3,FALSE)</f>
        <v> </v>
      </c>
      <c r="G8" s="310"/>
      <c r="H8" s="310"/>
      <c r="I8" s="115"/>
      <c r="J8" s="115"/>
      <c r="K8" s="115"/>
      <c r="L8" s="115"/>
      <c r="M8" s="109"/>
      <c r="N8" s="314" t="s">
        <v>496</v>
      </c>
      <c r="O8" s="314"/>
      <c r="P8" s="314"/>
      <c r="Q8" s="314" t="s">
        <v>32</v>
      </c>
      <c r="R8" s="314"/>
      <c r="S8" s="314"/>
      <c r="T8" s="314" t="s">
        <v>573</v>
      </c>
      <c r="U8" s="314"/>
      <c r="V8" s="314" t="s">
        <v>33</v>
      </c>
      <c r="W8" s="314"/>
      <c r="X8" s="314"/>
      <c r="Y8" s="135"/>
      <c r="Z8" s="314" t="s">
        <v>489</v>
      </c>
      <c r="AA8" s="314"/>
      <c r="AB8" s="161"/>
      <c r="AC8" s="109"/>
    </row>
    <row r="9" spans="2:29" s="61" customFormat="1" ht="19.5" customHeight="1" thickBot="1">
      <c r="B9" s="114" t="s">
        <v>481</v>
      </c>
      <c r="C9" s="114"/>
      <c r="D9" s="114"/>
      <c r="E9" s="129">
        <f>VLOOKUP('Hide - Control'!B4,'Hide - Calculation'!AY:BB,4,FALSE)</f>
        <v>467697</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478</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459</v>
      </c>
      <c r="E11" s="317"/>
      <c r="F11" s="318"/>
      <c r="G11" s="263" t="s">
        <v>457</v>
      </c>
      <c r="H11" s="255" t="s">
        <v>458</v>
      </c>
      <c r="I11" s="255" t="s">
        <v>469</v>
      </c>
      <c r="J11" s="255" t="s">
        <v>470</v>
      </c>
      <c r="K11" s="255" t="s">
        <v>342</v>
      </c>
      <c r="L11" s="256" t="s">
        <v>383</v>
      </c>
      <c r="M11" s="257" t="s">
        <v>479</v>
      </c>
      <c r="N11" s="334" t="s">
        <v>477</v>
      </c>
      <c r="O11" s="334"/>
      <c r="P11" s="334"/>
      <c r="Q11" s="334"/>
      <c r="R11" s="334"/>
      <c r="S11" s="334"/>
      <c r="T11" s="334"/>
      <c r="U11" s="334"/>
      <c r="V11" s="334"/>
      <c r="W11" s="334"/>
      <c r="X11" s="334"/>
      <c r="Y11" s="334"/>
      <c r="Z11" s="334"/>
      <c r="AA11" s="258" t="s">
        <v>480</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340</v>
      </c>
      <c r="C13" s="163">
        <v>1</v>
      </c>
      <c r="D13" s="312" t="s">
        <v>336</v>
      </c>
      <c r="E13" s="313"/>
      <c r="F13" s="313"/>
      <c r="G13" s="166">
        <f>IF(VLOOKUP('Hide - Control'!A$3,'All practice data'!A:CA,C13+4,FALSE)=" "," ",VLOOKUP('Hide - Control'!A$3,'All practice data'!A:CA,C13+4,FALSE))</f>
        <v>1211</v>
      </c>
      <c r="H13" s="190">
        <f>IF(VLOOKUP('Hide - Control'!A$3,'All practice data'!A:CA,C13+30,FALSE)=" "," ",VLOOKUP('Hide - Control'!A$3,'All practice data'!A:CA,C13+30,FALSE))</f>
        <v>0.21609564596716632</v>
      </c>
      <c r="I13" s="191">
        <f>IF(LEFT(G13,1)=" "," n/a",+((2*G13+1.96^2-1.96*SQRT(1.96^2+4*G13*(1-G13/E$8)))/(2*(E$8+1.96^2))))</f>
        <v>0.20551596963745364</v>
      </c>
      <c r="J13" s="191">
        <f>IF(LEFT(G13,1)=" "," n/a",+((2*G13+1.96^2+1.96*SQRT(1.96^2+4*G13*(1-G13/E$8)))/(2*(E$8+1.96^2))))</f>
        <v>0.22706429439853487</v>
      </c>
      <c r="K13" s="190">
        <f>IF('Hide - Calculation'!N7="","",'Hide - Calculation'!N7)</f>
        <v>0.18287694810956667</v>
      </c>
      <c r="L13" s="192">
        <f>'Hide - Calculation'!O7</f>
        <v>0.1599882305185145</v>
      </c>
      <c r="M13" s="208">
        <f>IF(ISBLANK('Hide - Calculation'!K7),"",'Hide - Calculation'!U7)</f>
        <v>0.10063233971595764</v>
      </c>
      <c r="N13" s="173"/>
      <c r="O13" s="173"/>
      <c r="P13" s="173"/>
      <c r="Q13" s="173"/>
      <c r="R13" s="173"/>
      <c r="S13" s="173"/>
      <c r="T13" s="173"/>
      <c r="U13" s="173"/>
      <c r="V13" s="173"/>
      <c r="W13" s="173"/>
      <c r="X13" s="173"/>
      <c r="Y13" s="173"/>
      <c r="Z13" s="173"/>
      <c r="AA13" s="226">
        <f>IF(ISBLANK('Hide - Calculation'!K7),"",'Hide - Calculation'!T7)</f>
        <v>0.27033624053001404</v>
      </c>
      <c r="AB13" s="233" t="s">
        <v>567</v>
      </c>
      <c r="AC13" s="209" t="s">
        <v>568</v>
      </c>
    </row>
    <row r="14" spans="2:29" ht="33.75" customHeight="1">
      <c r="B14" s="306"/>
      <c r="C14" s="137">
        <v>2</v>
      </c>
      <c r="D14" s="132" t="s">
        <v>490</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v>
      </c>
      <c r="I14" s="120">
        <f>IF(LEFT(G14,1)=" "," n/a",+((2*H14*E8+1.96^2-1.96*SQRT(1.96^2+4*H14*E8*(1-H14*E8/E$8)))/(2*(E$8+1.96^2))))</f>
        <v>0.09241725155870875</v>
      </c>
      <c r="J14" s="120">
        <f>IF(LEFT(G14,1)=" "," n/a",+((2*H14*E8+1.96^2+1.96*SQRT(1.96^2+4*H14*E8*(1-H14*E8/E$8)))/(2*(E$8+1.96^2))))</f>
        <v>0.10813078103907361</v>
      </c>
      <c r="K14" s="119">
        <f>IF('Hide - Calculation'!N8="","",'Hide - Calculation'!N8)</f>
        <v>0.09916140150567566</v>
      </c>
      <c r="L14" s="155">
        <f>'Hide - Calculation'!O8</f>
        <v>0.15010930292554353</v>
      </c>
      <c r="M14" s="150">
        <f>IF(ISBLANK('Hide - Calculation'!K8),"",'Hide - Calculation'!U8)</f>
        <v>0.03999999910593033</v>
      </c>
      <c r="N14" s="84"/>
      <c r="O14" s="84"/>
      <c r="P14" s="84"/>
      <c r="Q14" s="84"/>
      <c r="R14" s="84"/>
      <c r="S14" s="84"/>
      <c r="T14" s="84"/>
      <c r="U14" s="84"/>
      <c r="V14" s="84"/>
      <c r="W14" s="84"/>
      <c r="X14" s="84"/>
      <c r="Y14" s="84"/>
      <c r="Z14" s="84"/>
      <c r="AA14" s="227">
        <f>IF(ISBLANK('Hide - Calculation'!K8),"",'Hide - Calculation'!T8)</f>
        <v>0.20999999344348907</v>
      </c>
      <c r="AB14" s="234" t="s">
        <v>39</v>
      </c>
      <c r="AC14" s="130" t="s">
        <v>568</v>
      </c>
    </row>
    <row r="15" spans="2:39" s="63" customFormat="1" ht="33.75" customHeight="1">
      <c r="B15" s="306"/>
      <c r="C15" s="137">
        <v>3</v>
      </c>
      <c r="D15" s="132" t="s">
        <v>345</v>
      </c>
      <c r="E15" s="85"/>
      <c r="F15" s="85"/>
      <c r="G15" s="121">
        <f>IF(VLOOKUP('Hide - Control'!A$3,'All practice data'!A:CA,C15+4,FALSE)=" "," ",VLOOKUP('Hide - Control'!A$3,'All practice data'!A:CA,C15+4,FALSE))</f>
        <v>27</v>
      </c>
      <c r="H15" s="122">
        <f>IF(VLOOKUP('Hide - Control'!A$3,'All practice data'!A:CA,C15+30,FALSE)=" "," ",VLOOKUP('Hide - Control'!A$3,'All practice data'!A:CA,C15+30,FALSE))</f>
        <v>481.7987152034261</v>
      </c>
      <c r="I15" s="123">
        <f>IF(LEFT(G15,1)=" "," n/a",IF(G15&lt;5,100000*VLOOKUP(G15,'Hide - Calculation'!AQ:AR,2,FALSE)/$E$8,100000*(G15*(1-1/(9*G15)-1.96/(3*SQRT(G15)))^3)/$E$8))</f>
        <v>317.43081324191064</v>
      </c>
      <c r="J15" s="123">
        <f>IF(LEFT(G15,1)=" "," n/a",IF(G15&lt;5,100000*VLOOKUP(G15,'Hide - Calculation'!AQ:AS,3,FALSE)/$E$8,100000*((G15+1)*(1-1/(9*(G15+1))+1.96/(3*SQRT(G15+1)))^3)/$E$8))</f>
        <v>701.0231533329486</v>
      </c>
      <c r="K15" s="122">
        <f>IF('Hide - Calculation'!N9="","",'Hide - Calculation'!N9)</f>
        <v>520.2085965913828</v>
      </c>
      <c r="L15" s="156">
        <f>'Hide - Calculation'!O9</f>
        <v>445.6198871279627</v>
      </c>
      <c r="M15" s="151">
        <f>IF(ISBLANK('Hide - Calculation'!K9),"",'Hide - Calculation'!U9)</f>
        <v>239.39064025878906</v>
      </c>
      <c r="N15" s="84"/>
      <c r="O15" s="84"/>
      <c r="P15" s="84"/>
      <c r="Q15" s="84"/>
      <c r="R15" s="84"/>
      <c r="S15" s="84"/>
      <c r="T15" s="84"/>
      <c r="U15" s="84"/>
      <c r="V15" s="84"/>
      <c r="W15" s="84"/>
      <c r="X15" s="84"/>
      <c r="Y15" s="84"/>
      <c r="Z15" s="84"/>
      <c r="AA15" s="228">
        <f>IF(ISBLANK('Hide - Calculation'!K9),"",'Hide - Calculation'!T9)</f>
        <v>752.303955078125</v>
      </c>
      <c r="AB15" s="234" t="s">
        <v>460</v>
      </c>
      <c r="AC15" s="131">
        <v>2009</v>
      </c>
      <c r="AD15" s="64"/>
      <c r="AE15" s="64"/>
      <c r="AF15" s="64"/>
      <c r="AG15" s="64"/>
      <c r="AH15" s="64"/>
      <c r="AI15" s="64"/>
      <c r="AJ15" s="64"/>
      <c r="AK15" s="64"/>
      <c r="AL15" s="64"/>
      <c r="AM15" s="64"/>
    </row>
    <row r="16" spans="2:29" s="63" customFormat="1" ht="33.75" customHeight="1">
      <c r="B16" s="306"/>
      <c r="C16" s="137">
        <v>4</v>
      </c>
      <c r="D16" s="132" t="s">
        <v>482</v>
      </c>
      <c r="E16" s="85"/>
      <c r="F16" s="85"/>
      <c r="G16" s="121">
        <f>IF(VLOOKUP('Hide - Control'!A$3,'All practice data'!A:CA,C16+4,FALSE)=" "," ",VLOOKUP('Hide - Control'!A$3,'All practice data'!A:CA,C16+4,FALSE))</f>
        <v>16</v>
      </c>
      <c r="H16" s="122">
        <f>IF(VLOOKUP('Hide - Control'!A$3,'All practice data'!A:CA,C16+30,FALSE)=" "," ",VLOOKUP('Hide - Control'!A$3,'All practice data'!A:CA,C16+30,FALSE))</f>
        <v>285.5103497501784</v>
      </c>
      <c r="I16" s="123">
        <f>IF(LEFT(G16,1)=" "," n/a",IF(G16&lt;5,100000*VLOOKUP(G16,'Hide - Calculation'!AQ:AR,2,FALSE)/$E$8,100000*(G16*(1-1/(9*G16)-1.96/(3*SQRT(G16)))^3)/$E$8))</f>
        <v>163.08725446819787</v>
      </c>
      <c r="J16" s="123">
        <f>IF(LEFT(G16,1)=" "," n/a",IF(G16&lt;5,100000*VLOOKUP(G16,'Hide - Calculation'!AQ:AS,3,FALSE)/$E$8,100000*((G16+1)*(1-1/(9*(G16+1))+1.96/(3*SQRT(G16+1)))^3)/$E$8))</f>
        <v>463.6801433877925</v>
      </c>
      <c r="K16" s="122">
        <f>IF('Hide - Calculation'!N10="","",'Hide - Calculation'!N10)</f>
        <v>263.41840978240185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420.4469909667969</v>
      </c>
      <c r="AB16" s="234" t="s">
        <v>339</v>
      </c>
      <c r="AC16" s="131" t="s">
        <v>515</v>
      </c>
    </row>
    <row r="17" spans="2:29" s="63" customFormat="1" ht="33.75" customHeight="1" thickBot="1">
      <c r="B17" s="309"/>
      <c r="C17" s="180">
        <v>5</v>
      </c>
      <c r="D17" s="195" t="s">
        <v>344</v>
      </c>
      <c r="E17" s="182"/>
      <c r="F17" s="182"/>
      <c r="G17" s="140">
        <f>IF(VLOOKUP('Hide - Control'!A$3,'All practice data'!A:CA,C17+4,FALSE)=" "," ",VLOOKUP('Hide - Control'!A$3,'All practice data'!A:CA,C17+4,FALSE))</f>
        <v>109</v>
      </c>
      <c r="H17" s="141">
        <f>IF(VLOOKUP('Hide - Control'!A$3,'All practice data'!A:CA,C17+30,FALSE)=" "," ",VLOOKUP('Hide - Control'!A$3,'All practice data'!A:CA,C17+30,FALSE))</f>
        <v>0.019</v>
      </c>
      <c r="I17" s="142">
        <f>IF(LEFT(G17,1)=" "," n/a",+((2*G17+1.96^2-1.96*SQRT(1.96^2+4*G17*(1-G17/E$8)))/(2*(E$8+1.96^2))))</f>
        <v>0.01615005445069941</v>
      </c>
      <c r="J17" s="142">
        <f>IF(LEFT(G17,1)=" "," n/a",+((2*G17+1.96^2+1.96*SQRT(1.96^2+4*G17*(1-G17/E$8)))/(2*(E$8+1.96^2))))</f>
        <v>0.023409122827061073</v>
      </c>
      <c r="K17" s="141">
        <f>IF('Hide - Calculation'!N11="","",'Hide - Calculation'!N11)</f>
        <v>0.018238303859122465</v>
      </c>
      <c r="L17" s="157">
        <f>'Hide - Calculation'!O11</f>
        <v>0.015940726342527432</v>
      </c>
      <c r="M17" s="210">
        <f>IF(ISBLANK('Hide - Calculation'!K11),"",'Hide - Calculation'!U11)</f>
        <v>0.009999999776482582</v>
      </c>
      <c r="N17" s="91"/>
      <c r="O17" s="91"/>
      <c r="P17" s="91"/>
      <c r="Q17" s="91"/>
      <c r="R17" s="91"/>
      <c r="S17" s="91"/>
      <c r="T17" s="91"/>
      <c r="U17" s="91"/>
      <c r="V17" s="91"/>
      <c r="W17" s="91"/>
      <c r="X17" s="91"/>
      <c r="Y17" s="91"/>
      <c r="Z17" s="91"/>
      <c r="AA17" s="229">
        <f>IF(ISBLANK('Hide - Calculation'!K11),"",'Hide - Calculation'!T11)</f>
        <v>0.028999999165534973</v>
      </c>
      <c r="AB17" s="235" t="s">
        <v>483</v>
      </c>
      <c r="AC17" s="189" t="s">
        <v>515</v>
      </c>
    </row>
    <row r="18" spans="2:29" s="63" customFormat="1" ht="33.75" customHeight="1">
      <c r="B18" s="308" t="s">
        <v>13</v>
      </c>
      <c r="C18" s="163">
        <v>6</v>
      </c>
      <c r="D18" s="164" t="s">
        <v>491</v>
      </c>
      <c r="E18" s="165"/>
      <c r="F18" s="165"/>
      <c r="G18" s="219">
        <f>IF(OR(VLOOKUP('Hide - Control'!A$3,'All practice data'!A:CA,C18+4,FALSE)=" ",VLOOKUP('Hide - Control'!A$3,'All practice data'!A:CA,C18+52,FALSE)=0)," n/a",VLOOKUP('Hide - Control'!A$3,'All practice data'!A:CA,C18+4,FALSE))</f>
        <v>534</v>
      </c>
      <c r="H18" s="220">
        <f>IF(OR(VLOOKUP('Hide - Control'!A$3,'All practice data'!A:CA,C18+30,FALSE)=" ",VLOOKUP('Hide - Control'!A$3,'All practice data'!A:CA,C18+52,FALSE)=0)," n/a",VLOOKUP('Hide - Control'!A$3,'All practice data'!A:CA,C18+30,FALSE))</f>
        <v>0.724559</v>
      </c>
      <c r="I18" s="191">
        <f>IF(OR(LEFT(H18,1)=" ",VLOOKUP('Hide - Control'!A$3,'All practice data'!A:CA,C18+52,FALSE)=0)," n/a",+((2*G18+1.96^2-1.96*SQRT(1.96^2+4*G18*(1-G18/(VLOOKUP('Hide - Control'!A$3,'All practice data'!A:CA,C18+52,FALSE)))))/(2*(((VLOOKUP('Hide - Control'!A$3,'All practice data'!A:CA,C18+52,FALSE)))+1.96^2))))</f>
        <v>0.6912039971103013</v>
      </c>
      <c r="J18" s="191">
        <f>IF(OR(LEFT(H18,1)=" ",VLOOKUP('Hide - Control'!A$3,'All practice data'!A:CA,C18+52,FALSE)=0)," n/a",+((2*G18+1.96^2+1.96*SQRT(1.96^2+4*G18*(1-G18/(VLOOKUP('Hide - Control'!A$3,'All practice data'!A:CA,C18+52,FALSE)))))/(2*((VLOOKUP('Hide - Control'!A$3,'All practice data'!A:CA,C18+52,FALSE))+1.96^2))))</f>
        <v>0.7555851680769667</v>
      </c>
      <c r="K18" s="220">
        <f>IF('Hide - Calculation'!N12="","",'Hide - Calculation'!N12)</f>
        <v>0.7612823714466408</v>
      </c>
      <c r="L18" s="192">
        <f>'Hide - Calculation'!O12</f>
        <v>0.7248631360507991</v>
      </c>
      <c r="M18" s="193">
        <f>IF(ISBLANK('Hide - Calculation'!K12),"",'Hide - Calculation'!U12)</f>
        <v>0.6358789801597595</v>
      </c>
      <c r="N18" s="194"/>
      <c r="O18" s="173"/>
      <c r="P18" s="173"/>
      <c r="Q18" s="173"/>
      <c r="R18" s="173"/>
      <c r="S18" s="173"/>
      <c r="T18" s="173"/>
      <c r="U18" s="173"/>
      <c r="V18" s="173"/>
      <c r="W18" s="173"/>
      <c r="X18" s="173"/>
      <c r="Y18" s="173"/>
      <c r="Z18" s="174"/>
      <c r="AA18" s="193">
        <f>IF(ISBLANK('Hide - Calculation'!K12),"",'Hide - Calculation'!T12)</f>
        <v>0.8408660292625427</v>
      </c>
      <c r="AB18" s="233" t="s">
        <v>48</v>
      </c>
      <c r="AC18" s="175" t="s">
        <v>516</v>
      </c>
    </row>
    <row r="19" spans="2:29" s="63" customFormat="1" ht="33.75" customHeight="1">
      <c r="B19" s="306"/>
      <c r="C19" s="137">
        <v>7</v>
      </c>
      <c r="D19" s="132" t="s">
        <v>492</v>
      </c>
      <c r="E19" s="85"/>
      <c r="F19" s="85"/>
      <c r="G19" s="221">
        <f>IF(OR(VLOOKUP('Hide - Control'!A$3,'All practice data'!A:CA,C19+4,FALSE)=" ",VLOOKUP('Hide - Control'!A$3,'All practice data'!A:CA,C19+52,FALSE)=0)," n/a",VLOOKUP('Hide - Control'!A$3,'All practice data'!A:CA,C19+4,FALSE))</f>
        <v>11</v>
      </c>
      <c r="H19" s="218">
        <f>IF(OR(VLOOKUP('Hide - Control'!A$3,'All practice data'!A:CA,C19+30,FALSE)=" ",VLOOKUP('Hide - Control'!A$3,'All practice data'!A:CA,C19+52,FALSE)=0)," n/a",VLOOKUP('Hide - Control'!A$3,'All practice data'!A:CA,C19+30,FALSE))</f>
        <v>0.578947</v>
      </c>
      <c r="I19" s="120">
        <f>IF(OR(LEFT(H19,1)=" ",VLOOKUP('Hide - Control'!A$3,'All practice data'!A:CA,C19+52,FALSE)=0)," n/a",+((2*G19+1.96^2-1.96*SQRT(1.96^2+4*G19*(1-G19/(VLOOKUP('Hide - Control'!A$3,'All practice data'!A:CA,C19+52,FALSE)))))/(2*(((VLOOKUP('Hide - Control'!A$3,'All practice data'!A:CA,C19+52,FALSE)))+1.96^2))))</f>
        <v>0.3627555146516011</v>
      </c>
      <c r="J19" s="120">
        <f>IF(OR(LEFT(H19,1)=" ",VLOOKUP('Hide - Control'!A$3,'All practice data'!A:CA,C19+52,FALSE)=0)," n/a",+((2*G19+1.96^2+1.96*SQRT(1.96^2+4*G19*(1-G19/(VLOOKUP('Hide - Control'!A$3,'All practice data'!A:CA,C19+52,FALSE)))))/(2*((VLOOKUP('Hide - Control'!A$3,'All practice data'!A:CA,C19+52,FALSE))+1.96^2))))</f>
        <v>0.7685837960796962</v>
      </c>
      <c r="K19" s="218">
        <f>IF('Hide - Calculation'!N13="","",'Hide - Calculation'!N13)</f>
        <v>0.7762177065250689</v>
      </c>
      <c r="L19" s="155">
        <f>'Hide - Calculation'!O13</f>
        <v>0.7467412166569077</v>
      </c>
      <c r="M19" s="152">
        <f>IF(ISBLANK('Hide - Calculation'!K13),"",'Hide - Calculation'!U13)</f>
        <v>0.2857140004634857</v>
      </c>
      <c r="N19" s="160"/>
      <c r="O19" s="84"/>
      <c r="P19" s="84"/>
      <c r="Q19" s="84"/>
      <c r="R19" s="84"/>
      <c r="S19" s="84"/>
      <c r="T19" s="84"/>
      <c r="U19" s="84"/>
      <c r="V19" s="84"/>
      <c r="W19" s="84"/>
      <c r="X19" s="84"/>
      <c r="Y19" s="84"/>
      <c r="Z19" s="88"/>
      <c r="AA19" s="152">
        <f>IF(ISBLANK('Hide - Calculation'!K13),"",'Hide - Calculation'!T13)</f>
        <v>1</v>
      </c>
      <c r="AB19" s="234" t="s">
        <v>48</v>
      </c>
      <c r="AC19" s="131" t="s">
        <v>515</v>
      </c>
    </row>
    <row r="20" spans="2:29" s="63" customFormat="1" ht="33.75" customHeight="1">
      <c r="B20" s="306"/>
      <c r="C20" s="137">
        <v>8</v>
      </c>
      <c r="D20" s="132" t="s">
        <v>493</v>
      </c>
      <c r="E20" s="85"/>
      <c r="F20" s="85"/>
      <c r="G20" s="221">
        <f>IF(OR(VLOOKUP('Hide - Control'!A$3,'All practice data'!A:CA,C20+4,FALSE)=" ",VLOOKUP('Hide - Control'!A$3,'All practice data'!A:CA,C20+52,FALSE)=0)," n/a",VLOOKUP('Hide - Control'!A$3,'All practice data'!A:CA,C20+4,FALSE))</f>
        <v>1022</v>
      </c>
      <c r="H20" s="218">
        <f>IF(OR(VLOOKUP('Hide - Control'!A$3,'All practice data'!A:CA,C20+30,FALSE)=" ",VLOOKUP('Hide - Control'!A$3,'All practice data'!A:CA,C20+52,FALSE)=0)," n/a",VLOOKUP('Hide - Control'!A$3,'All practice data'!A:CA,C20+30,FALSE))</f>
        <v>0.748718</v>
      </c>
      <c r="I20" s="120">
        <f>IF(OR(LEFT(H20,1)=" ",VLOOKUP('Hide - Control'!A$3,'All practice data'!A:CA,C20+52,FALSE)=0)," n/a",+((2*G20+1.96^2-1.96*SQRT(1.96^2+4*G20*(1-G20/(VLOOKUP('Hide - Control'!A$3,'All practice data'!A:CA,C20+52,FALSE)))))/(2*(((VLOOKUP('Hide - Control'!A$3,'All practice data'!A:CA,C20+52,FALSE)))+1.96^2))))</f>
        <v>0.725030956233968</v>
      </c>
      <c r="J20" s="120">
        <f>IF(OR(LEFT(H20,1)=" ",VLOOKUP('Hide - Control'!A$3,'All practice data'!A:CA,C20+52,FALSE)=0)," n/a",+((2*G20+1.96^2+1.96*SQRT(1.96^2+4*G20*(1-G20/(VLOOKUP('Hide - Control'!A$3,'All practice data'!A:CA,C20+52,FALSE)))))/(2*((VLOOKUP('Hide - Control'!A$3,'All practice data'!A:CA,C20+52,FALSE))+1.96^2))))</f>
        <v>0.771008906961306</v>
      </c>
      <c r="K20" s="218">
        <f>IF('Hide - Calculation'!N14="","",'Hide - Calculation'!N14)</f>
        <v>0.7823831504559665</v>
      </c>
      <c r="L20" s="155">
        <f>'Hide - Calculation'!O14</f>
        <v>0.7559681673907895</v>
      </c>
      <c r="M20" s="152">
        <f>IF(ISBLANK('Hide - Calculation'!K14),"",'Hide - Calculation'!U14)</f>
        <v>0.6737930178642273</v>
      </c>
      <c r="N20" s="160"/>
      <c r="O20" s="84"/>
      <c r="P20" s="84"/>
      <c r="Q20" s="84"/>
      <c r="R20" s="84"/>
      <c r="S20" s="84"/>
      <c r="T20" s="84"/>
      <c r="U20" s="84"/>
      <c r="V20" s="84"/>
      <c r="W20" s="84"/>
      <c r="X20" s="84"/>
      <c r="Y20" s="84"/>
      <c r="Z20" s="88"/>
      <c r="AA20" s="152">
        <f>IF(ISBLANK('Hide - Calculation'!K14),"",'Hide - Calculation'!T14)</f>
        <v>0.8694499731063843</v>
      </c>
      <c r="AB20" s="234" t="s">
        <v>48</v>
      </c>
      <c r="AC20" s="131" t="s">
        <v>517</v>
      </c>
    </row>
    <row r="21" spans="2:29" s="63" customFormat="1" ht="33.75" customHeight="1">
      <c r="B21" s="306"/>
      <c r="C21" s="137">
        <v>9</v>
      </c>
      <c r="D21" s="132" t="s">
        <v>494</v>
      </c>
      <c r="E21" s="85"/>
      <c r="F21" s="85"/>
      <c r="G21" s="221">
        <f>IF(OR(VLOOKUP('Hide - Control'!A$3,'All practice data'!A:CA,C21+4,FALSE)=" ",VLOOKUP('Hide - Control'!A$3,'All practice data'!A:CA,C21+52,FALSE)=0)," n/a",VLOOKUP('Hide - Control'!A$3,'All practice data'!A:CA,C21+4,FALSE))</f>
        <v>364</v>
      </c>
      <c r="H21" s="218">
        <f>IF(OR(VLOOKUP('Hide - Control'!A$3,'All practice data'!A:CA,C21+30,FALSE)=" ",VLOOKUP('Hide - Control'!A$3,'All practice data'!A:CA,C21+52,FALSE)=0)," n/a",VLOOKUP('Hide - Control'!A$3,'All practice data'!A:CA,C21+30,FALSE))</f>
        <v>0.541667</v>
      </c>
      <c r="I21" s="120">
        <f>IF(OR(LEFT(H21,1)=" ",VLOOKUP('Hide - Control'!A$3,'All practice data'!A:CA,C21+52,FALSE)=0)," n/a",+((2*G21+1.96^2-1.96*SQRT(1.96^2+4*G21*(1-G21/(VLOOKUP('Hide - Control'!A$3,'All practice data'!A:CA,C21+52,FALSE)))))/(2*(((VLOOKUP('Hide - Control'!A$3,'All practice data'!A:CA,C21+52,FALSE)))+1.96^2))))</f>
        <v>0.5038634745102947</v>
      </c>
      <c r="J21" s="120">
        <f>IF(OR(LEFT(H21,1)=" ",VLOOKUP('Hide - Control'!A$3,'All practice data'!A:CA,C21+52,FALSE)=0)," n/a",+((2*G21+1.96^2+1.96*SQRT(1.96^2+4*G21*(1-G21/(VLOOKUP('Hide - Control'!A$3,'All practice data'!A:CA,C21+52,FALSE)))))/(2*((VLOOKUP('Hide - Control'!A$3,'All practice data'!A:CA,C21+52,FALSE))+1.96^2))))</f>
        <v>0.5789961778106042</v>
      </c>
      <c r="K21" s="218">
        <f>IF('Hide - Calculation'!N15="","",'Hide - Calculation'!N15)</f>
        <v>0.5751389854065323</v>
      </c>
      <c r="L21" s="155">
        <f>'Hide - Calculation'!O15</f>
        <v>0.5147293797466616</v>
      </c>
      <c r="M21" s="152">
        <f>IF(ISBLANK('Hide - Calculation'!K15),"",'Hide - Calculation'!U15)</f>
        <v>0.4594059884548187</v>
      </c>
      <c r="N21" s="160"/>
      <c r="O21" s="84"/>
      <c r="P21" s="84"/>
      <c r="Q21" s="84"/>
      <c r="R21" s="84"/>
      <c r="S21" s="84"/>
      <c r="T21" s="84"/>
      <c r="U21" s="84"/>
      <c r="V21" s="84"/>
      <c r="W21" s="84"/>
      <c r="X21" s="84"/>
      <c r="Y21" s="84"/>
      <c r="Z21" s="88"/>
      <c r="AA21" s="152">
        <f>IF(ISBLANK('Hide - Calculation'!K15),"",'Hide - Calculation'!T15)</f>
        <v>0.6668509840965271</v>
      </c>
      <c r="AB21" s="234" t="s">
        <v>48</v>
      </c>
      <c r="AC21" s="131" t="s">
        <v>516</v>
      </c>
    </row>
    <row r="22" spans="2:29" s="63" customFormat="1" ht="33.75" customHeight="1" thickBot="1">
      <c r="B22" s="309"/>
      <c r="C22" s="180">
        <v>10</v>
      </c>
      <c r="D22" s="195" t="s">
        <v>495</v>
      </c>
      <c r="E22" s="182"/>
      <c r="F22" s="182"/>
      <c r="G22" s="222">
        <f>IF(OR(VLOOKUP('Hide - Control'!A$3,'All practice data'!A:CA,C22+4,FALSE)=" ",VLOOKUP('Hide - Control'!A$3,'All practice data'!A:CA,C22+52,FALSE)=0)," n/a",VLOOKUP('Hide - Control'!A$3,'All practice data'!A:CA,C22+4,FALSE))</f>
        <v>219</v>
      </c>
      <c r="H22" s="223">
        <f>IF(OR(VLOOKUP('Hide - Control'!A$3,'All practice data'!A:CA,C22+30,FALSE)=" ",VLOOKUP('Hide - Control'!A$3,'All practice data'!A:CA,C22+52,FALSE)=0)," n/a",VLOOKUP('Hide - Control'!A$3,'All practice data'!A:CA,C22+30,FALSE))</f>
        <v>0.611732</v>
      </c>
      <c r="I22" s="196">
        <f>IF(OR(LEFT(H22,1)=" ",VLOOKUP('Hide - Control'!A$3,'All practice data'!A:CA,C22+52,FALSE)=0)," n/a",+((2*G22+1.96^2-1.96*SQRT(1.96^2+4*G22*(1-G22/(VLOOKUP('Hide - Control'!A$3,'All practice data'!A:CA,C22+52,FALSE)))))/(2*(((VLOOKUP('Hide - Control'!A$3,'All practice data'!A:CA,C22+52,FALSE)))+1.96^2))))</f>
        <v>0.5603154681930748</v>
      </c>
      <c r="J22" s="196">
        <f>IF(OR(LEFT(H22,1)=" ",VLOOKUP('Hide - Control'!A$3,'All practice data'!A:CA,C22+52,FALSE)=0)," n/a",+((2*G22+1.96^2+1.96*SQRT(1.96^2+4*G22*(1-G22/(VLOOKUP('Hide - Control'!A$3,'All practice data'!A:CA,C22+52,FALSE)))))/(2*((VLOOKUP('Hide - Control'!A$3,'All practice data'!A:CA,C22+52,FALSE))+1.96^2))))</f>
        <v>0.6607757496215713</v>
      </c>
      <c r="K22" s="223">
        <f>IF('Hide - Calculation'!N16="","",'Hide - Calculation'!N16)</f>
        <v>0.6003295003698473</v>
      </c>
      <c r="L22" s="197">
        <f>'Hide - Calculation'!O16</f>
        <v>0.5752927626212945</v>
      </c>
      <c r="M22" s="198">
        <f>IF(ISBLANK('Hide - Calculation'!K16),"",'Hide - Calculation'!U16)</f>
        <v>0.5037040114402771</v>
      </c>
      <c r="N22" s="199"/>
      <c r="O22" s="91"/>
      <c r="P22" s="91"/>
      <c r="Q22" s="91"/>
      <c r="R22" s="91"/>
      <c r="S22" s="91"/>
      <c r="T22" s="91"/>
      <c r="U22" s="91"/>
      <c r="V22" s="91"/>
      <c r="W22" s="91"/>
      <c r="X22" s="91"/>
      <c r="Y22" s="91"/>
      <c r="Z22" s="188"/>
      <c r="AA22" s="198">
        <f>IF(ISBLANK('Hide - Calculation'!K16),"",'Hide - Calculation'!T16)</f>
        <v>0.6941180229187012</v>
      </c>
      <c r="AB22" s="235" t="s">
        <v>48</v>
      </c>
      <c r="AC22" s="189" t="s">
        <v>515</v>
      </c>
    </row>
    <row r="23" spans="2:29" s="63" customFormat="1" ht="33.75" customHeight="1">
      <c r="B23" s="308" t="s">
        <v>334</v>
      </c>
      <c r="C23" s="163">
        <v>11</v>
      </c>
      <c r="D23" s="179" t="s">
        <v>346</v>
      </c>
      <c r="E23" s="165"/>
      <c r="F23" s="165"/>
      <c r="G23" s="118">
        <f>IF(VLOOKUP('Hide - Control'!A$3,'All practice data'!A:CA,C23+4,FALSE)=" "," ",VLOOKUP('Hide - Control'!A$3,'All practice data'!A:CA,C23+4,FALSE))</f>
        <v>82</v>
      </c>
      <c r="H23" s="216">
        <f>IF(VLOOKUP('Hide - Control'!A$3,'All practice data'!A:CA,C23+30,FALSE)=" "," ",VLOOKUP('Hide - Control'!A$3,'All practice data'!A:CA,C23+30,FALSE))</f>
        <v>1463.2405424696644</v>
      </c>
      <c r="I23" s="215">
        <f>IF(LEFT(G23,1)=" "," n/a",IF(G23&lt;5,100000*VLOOKUP(G23,'Hide - Calculation'!AQ:AR,2,FALSE)/$E$8,100000*(G23*(1-1/(9*G23)-1.96/(3*SQRT(G23)))^3)/$E$8))</f>
        <v>1163.7157691976838</v>
      </c>
      <c r="J23" s="215">
        <f>IF(LEFT(G23,1)=" "," n/a",IF(G23&lt;5,100000*VLOOKUP(G23,'Hide - Calculation'!AQ:AS,3,FALSE)/$E$8,100000*((G23+1)*(1-1/(9*(G23+1))+1.96/(3*SQRT(G23+1)))^3)/$E$8))</f>
        <v>1816.2957766575046</v>
      </c>
      <c r="K23" s="216">
        <f>IF('Hide - Calculation'!N17="","",'Hide - Calculation'!N17)</f>
        <v>1603.602332279232</v>
      </c>
      <c r="L23" s="217">
        <f>'Hide - Calculation'!O17</f>
        <v>1812.1669120472948</v>
      </c>
      <c r="M23" s="170">
        <f>IF(ISBLANK('Hide - Calculation'!K17),"",'Hide - Calculation'!U17)</f>
        <v>426.5828552246094</v>
      </c>
      <c r="N23" s="171"/>
      <c r="O23" s="172"/>
      <c r="P23" s="172"/>
      <c r="Q23" s="172"/>
      <c r="R23" s="173"/>
      <c r="S23" s="173"/>
      <c r="T23" s="173"/>
      <c r="U23" s="173"/>
      <c r="V23" s="173"/>
      <c r="W23" s="173"/>
      <c r="X23" s="173"/>
      <c r="Y23" s="173"/>
      <c r="Z23" s="174"/>
      <c r="AA23" s="170">
        <f>IF(ISBLANK('Hide - Calculation'!K17),"",'Hide - Calculation'!T17)</f>
        <v>2962.01806640625</v>
      </c>
      <c r="AB23" s="233" t="s">
        <v>26</v>
      </c>
      <c r="AC23" s="175" t="s">
        <v>515</v>
      </c>
    </row>
    <row r="24" spans="2:29" s="63" customFormat="1" ht="33.75" customHeight="1">
      <c r="B24" s="306"/>
      <c r="C24" s="137">
        <v>12</v>
      </c>
      <c r="D24" s="147" t="s">
        <v>502</v>
      </c>
      <c r="E24" s="85"/>
      <c r="F24" s="85"/>
      <c r="G24" s="118">
        <f>IF(VLOOKUP('Hide - Control'!A$3,'All practice data'!A:CA,C24+4,FALSE)=" "," ",VLOOKUP('Hide - Control'!A$3,'All practice data'!A:CA,C24+4,FALSE))</f>
        <v>82</v>
      </c>
      <c r="H24" s="119">
        <f>IF(VLOOKUP('Hide - Control'!A$3,'All practice data'!A:CA,C24+30,FALSE)=" "," ",VLOOKUP('Hide - Control'!A$3,'All practice data'!A:CA,C24+30,FALSE))</f>
        <v>0.6895890045</v>
      </c>
      <c r="I24" s="212">
        <f>IF(LEFT(VLOOKUP('Hide - Control'!A$3,'All practice data'!A:CA,C24+44,FALSE),1)=" "," n/a",VLOOKUP('Hide - Control'!A$3,'All practice data'!A:CA,C24+44,FALSE))</f>
        <v>0.5484505844</v>
      </c>
      <c r="J24" s="212">
        <f>IF(LEFT(VLOOKUP('Hide - Control'!A$3,'All practice data'!A:CA,C24+45,FALSE),1)=" "," n/a",VLOOKUP('Hide - Control'!A$3,'All practice data'!A:CA,C24+45,FALSE))</f>
        <v>0.8559617615</v>
      </c>
      <c r="K24" s="152" t="s">
        <v>572</v>
      </c>
      <c r="L24" s="213">
        <v>1</v>
      </c>
      <c r="M24" s="152">
        <f>IF(ISBLANK('Hide - Calculation'!K18),"",'Hide - Calculation'!U18)</f>
        <v>0.21989236772060394</v>
      </c>
      <c r="N24" s="86"/>
      <c r="O24" s="87"/>
      <c r="P24" s="87"/>
      <c r="Q24" s="87"/>
      <c r="R24" s="84"/>
      <c r="S24" s="84"/>
      <c r="T24" s="84"/>
      <c r="U24" s="84"/>
      <c r="V24" s="84"/>
      <c r="W24" s="84"/>
      <c r="X24" s="84"/>
      <c r="Y24" s="84"/>
      <c r="Z24" s="88"/>
      <c r="AA24" s="152">
        <f>IF(ISBLANK('Hide - Calculation'!K18),"",'Hide - Calculation'!T18)</f>
        <v>1.3638571500778198</v>
      </c>
      <c r="AB24" s="234" t="s">
        <v>26</v>
      </c>
      <c r="AC24" s="131" t="s">
        <v>515</v>
      </c>
    </row>
    <row r="25" spans="2:29" s="63" customFormat="1" ht="33.75" customHeight="1">
      <c r="B25" s="306"/>
      <c r="C25" s="137">
        <v>13</v>
      </c>
      <c r="D25" s="147" t="s">
        <v>341</v>
      </c>
      <c r="E25" s="85"/>
      <c r="F25" s="85"/>
      <c r="G25" s="118">
        <f>IF(VLOOKUP('Hide - Control'!A$3,'All practice data'!A:CA,C25+4,FALSE)=" "," ",VLOOKUP('Hide - Control'!A$3,'All practice data'!A:CA,C25+4,FALSE))</f>
        <v>8</v>
      </c>
      <c r="H25" s="119">
        <f>IF(VLOOKUP('Hide - Control'!A$3,'All practice data'!A:CA,C25+30,FALSE)=" "," ",VLOOKUP('Hide - Control'!A$3,'All practice data'!A:CA,C25+30,FALSE))</f>
        <v>0.0975609756097561</v>
      </c>
      <c r="I25" s="120">
        <f>IF(LEFT(G25,1)=" "," n/a",IF(G25=0," n/a",+((2*G25+1.96^2-1.96*SQRT(1.96^2+4*G25*(1-G25/G23)))/(2*(G23+1.96^2)))))</f>
        <v>0.05026808709378499</v>
      </c>
      <c r="J25" s="120">
        <f>IF(LEFT(G25,1)=" "," n/a",IF(G25=0," n/a",+((2*G25+1.96^2+1.96*SQRT(1.96^2+4*G25*(1-G25/G23)))/(2*(G23+1.96^2)))))</f>
        <v>0.18087392330676672</v>
      </c>
      <c r="K25" s="125">
        <f>IF('Hide - Calculation'!N19="","",'Hide - Calculation'!N19)</f>
        <v>0.1204</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0.3478260934352875</v>
      </c>
      <c r="AB25" s="234" t="s">
        <v>26</v>
      </c>
      <c r="AC25" s="131" t="s">
        <v>515</v>
      </c>
    </row>
    <row r="26" spans="2:29" s="63" customFormat="1" ht="33.75" customHeight="1">
      <c r="B26" s="306"/>
      <c r="C26" s="137">
        <v>14</v>
      </c>
      <c r="D26" s="147" t="s">
        <v>484</v>
      </c>
      <c r="E26" s="85"/>
      <c r="F26" s="85"/>
      <c r="G26" s="121">
        <f>IF(VLOOKUP('Hide - Control'!A$3,'All practice data'!A:CA,C26+4,FALSE)=" "," ",VLOOKUP('Hide - Control'!A$3,'All practice data'!A:CA,C26+4,FALSE))</f>
        <v>17</v>
      </c>
      <c r="H26" s="119">
        <f>IF(VLOOKUP('Hide - Control'!A$3,'All practice data'!A:CA,C26+30,FALSE)=" "," ",VLOOKUP('Hide - Control'!A$3,'All practice data'!A:CA,C26+30,FALSE))</f>
        <v>0.47058823529411764</v>
      </c>
      <c r="I26" s="120">
        <f>IF(OR(LEFT(G26,1)=" ",LEFT(G25,1)=" ")," n/a",IF(G26=0," n/a",+((2*G25+1.96^2-1.96*SQRT(1.96^2+4*G25*(1-G25/G26)))/(2*(G26+1.96^2)))))</f>
        <v>0.26164801196088106</v>
      </c>
      <c r="J26" s="120">
        <f>IF(OR(LEFT(G26,1)=" ",LEFT(G25,1)=" ")," n/a",IF(G26=0," n/a",+((2*G25+1.96^2+1.96*SQRT(1.96^2+4*G25*(1-G25/G26)))/(2*(G26+1.96^2)))))</f>
        <v>0.6903710268845051</v>
      </c>
      <c r="K26" s="125">
        <f>IF('Hide - Calculation'!N20="","",'Hide - Calculation'!N20)</f>
        <v>0.4161290322580645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0.5714285969734192</v>
      </c>
      <c r="AB26" s="234" t="s">
        <v>26</v>
      </c>
      <c r="AC26" s="131" t="s">
        <v>515</v>
      </c>
    </row>
    <row r="27" spans="2:29" s="63" customFormat="1" ht="33.75" customHeight="1">
      <c r="B27" s="306"/>
      <c r="C27" s="137">
        <v>15</v>
      </c>
      <c r="D27" s="147" t="s">
        <v>471</v>
      </c>
      <c r="E27" s="85"/>
      <c r="F27" s="85"/>
      <c r="G27" s="121">
        <f>IF(VLOOKUP('Hide - Control'!A$3,'All practice data'!A:CA,C27+4,FALSE)=" "," ",VLOOKUP('Hide - Control'!A$3,'All practice data'!A:CA,C27+4,FALSE))</f>
        <v>23</v>
      </c>
      <c r="H27" s="122">
        <f>IF(VLOOKUP('Hide - Control'!A$3,'All practice data'!A:CA,C27+30,FALSE)=" "," ",VLOOKUP('Hide - Control'!A$3,'All practice data'!A:CA,C27+30,FALSE))</f>
        <v>410.4211277658815</v>
      </c>
      <c r="I27" s="123">
        <f>IF(LEFT(G27,1)=" "," n/a",IF(G27&lt;5,100000*VLOOKUP(G27,'Hide - Calculation'!AQ:AR,2,FALSE)/$E$8,100000*(G27*(1-1/(9*G27)-1.96/(3*SQRT(G27)))^3)/$E$8))</f>
        <v>260.08642480960197</v>
      </c>
      <c r="J27" s="123">
        <f>IF(LEFT(G27,1)=" "," n/a",IF(G27&lt;5,100000*VLOOKUP(G27,'Hide - Calculation'!AQ:AS,3,FALSE)/$E$8,100000*((G27+1)*(1-1/(9*(G27+1))+1.96/(3*SQRT(G27+1)))^3)/$E$8))</f>
        <v>615.8642946444788</v>
      </c>
      <c r="K27" s="122">
        <f>IF('Hide - Calculation'!N21="","",'Hide - Calculation'!N21)</f>
        <v>386.361255257143</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1017.92431640625</v>
      </c>
      <c r="AB27" s="234" t="s">
        <v>26</v>
      </c>
      <c r="AC27" s="131" t="s">
        <v>515</v>
      </c>
    </row>
    <row r="28" spans="2:29" s="63" customFormat="1" ht="33.75" customHeight="1">
      <c r="B28" s="306"/>
      <c r="C28" s="137">
        <v>16</v>
      </c>
      <c r="D28" s="147" t="s">
        <v>472</v>
      </c>
      <c r="E28" s="85"/>
      <c r="F28" s="85"/>
      <c r="G28" s="121">
        <f>IF(VLOOKUP('Hide - Control'!A$3,'All practice data'!A:CA,C28+4,FALSE)=" "," ",VLOOKUP('Hide - Control'!A$3,'All practice data'!A:CA,C28+4,FALSE))</f>
        <v>9</v>
      </c>
      <c r="H28" s="122">
        <f>IF(VLOOKUP('Hide - Control'!A$3,'All practice data'!A:CA,C28+30,FALSE)=" "," ",VLOOKUP('Hide - Control'!A$3,'All practice data'!A:CA,C28+30,FALSE))</f>
        <v>160.59957173447538</v>
      </c>
      <c r="I28" s="123">
        <f>IF(LEFT(G28,1)=" "," n/a",IF(G28&lt;5,100000*VLOOKUP(G28,'Hide - Calculation'!AQ:AR,2,FALSE)/$E$8,100000*(G28*(1-1/(9*G28)-1.96/(3*SQRT(G28)))^3)/$E$8))</f>
        <v>73.28374346042396</v>
      </c>
      <c r="J28" s="123">
        <f>IF(LEFT(G28,1)=" "," n/a",IF(G28&lt;5,100000*VLOOKUP(G28,'Hide - Calculation'!AQ:AS,3,FALSE)/$E$8,100000*((G28+1)*(1-1/(9*(G28+1))+1.96/(3*SQRT(G28+1)))^3)/$E$8))</f>
        <v>304.88835583039366</v>
      </c>
      <c r="K28" s="122">
        <f>IF('Hide - Calculation'!N22="","",'Hide - Calculation'!N22)</f>
        <v>267.4808690241759</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551.9779052734375</v>
      </c>
      <c r="AB28" s="234" t="s">
        <v>26</v>
      </c>
      <c r="AC28" s="131" t="s">
        <v>515</v>
      </c>
    </row>
    <row r="29" spans="2:29" s="63" customFormat="1" ht="33.75" customHeight="1">
      <c r="B29" s="306"/>
      <c r="C29" s="137">
        <v>17</v>
      </c>
      <c r="D29" s="147" t="s">
        <v>473</v>
      </c>
      <c r="E29" s="85"/>
      <c r="F29" s="85"/>
      <c r="G29" s="121">
        <f>IF(VLOOKUP('Hide - Control'!A$3,'All practice data'!A:CA,C29+4,FALSE)=" "," ",VLOOKUP('Hide - Control'!A$3,'All practice data'!A:CA,C29+4,FALSE))</f>
        <v>7</v>
      </c>
      <c r="H29" s="122">
        <f>IF(VLOOKUP('Hide - Control'!A$3,'All practice data'!A:CA,C29+30,FALSE)=" "," ",VLOOKUP('Hide - Control'!A$3,'All practice data'!A:CA,C29+30,FALSE))</f>
        <v>124.91077801570307</v>
      </c>
      <c r="I29" s="123">
        <f>IF(LEFT(G29,1)=" "," n/a",IF(G29&lt;5,100000*VLOOKUP(G29,'Hide - Calculation'!AQ:AR,2,FALSE)/$E$8,100000*(G29*(1-1/(9*G29)-1.96/(3*SQRT(G29)))^3)/$E$8))</f>
        <v>50.04245004601032</v>
      </c>
      <c r="J29" s="123">
        <f>IF(LEFT(G29,1)=" "," n/a",IF(G29&lt;5,100000*VLOOKUP(G29,'Hide - Calculation'!AQ:AS,3,FALSE)/$E$8,100000*((G29+1)*(1-1/(9*(G29+1))+1.96/(3*SQRT(G29+1)))^3)/$E$8))</f>
        <v>257.3771138167052</v>
      </c>
      <c r="K29" s="122">
        <f>IF('Hide - Calculation'!N23="","",'Hide - Calculation'!N23)</f>
        <v>63.0750250696498</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149.0868377685547</v>
      </c>
      <c r="AB29" s="234" t="s">
        <v>26</v>
      </c>
      <c r="AC29" s="131" t="s">
        <v>515</v>
      </c>
    </row>
    <row r="30" spans="2:29" s="63" customFormat="1" ht="33.75" customHeight="1" thickBot="1">
      <c r="B30" s="309"/>
      <c r="C30" s="180">
        <v>18</v>
      </c>
      <c r="D30" s="181" t="s">
        <v>474</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259.1421368963239</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949.5465087890625</v>
      </c>
      <c r="AB30" s="235" t="s">
        <v>26</v>
      </c>
      <c r="AC30" s="189" t="s">
        <v>515</v>
      </c>
    </row>
    <row r="31" spans="2:29" s="63" customFormat="1" ht="33.75" customHeight="1">
      <c r="B31" s="304" t="s">
        <v>343</v>
      </c>
      <c r="C31" s="163">
        <v>19</v>
      </c>
      <c r="D31" s="164" t="s">
        <v>347</v>
      </c>
      <c r="E31" s="165"/>
      <c r="F31" s="165"/>
      <c r="G31" s="166">
        <f>IF(VLOOKUP('Hide - Control'!A$3,'All practice data'!A:CA,C31+4,FALSE)=" "," ",VLOOKUP('Hide - Control'!A$3,'All practice data'!A:CA,C31+4,FALSE))</f>
        <v>30</v>
      </c>
      <c r="H31" s="167">
        <f>IF(VLOOKUP('Hide - Control'!A$3,'All practice data'!A:CA,C31+30,FALSE)=" "," ",VLOOKUP('Hide - Control'!A$3,'All practice data'!A:CA,C31+30,FALSE))</f>
        <v>535.3319057815846</v>
      </c>
      <c r="I31" s="168">
        <f>IF(LEFT(G31,1)=" "," n/a",IF(G31&lt;5,100000*VLOOKUP(G31,'Hide - Calculation'!AQ:AR,2,FALSE)/$E$8,100000*(G31*(1-1/(9*G31)-1.96/(3*SQRT(G31)))^3)/$E$8))</f>
        <v>361.1132649142545</v>
      </c>
      <c r="J31" s="168">
        <f>IF(LEFT(G31,1)=" "," n/a",IF(G31&lt;5,100000*VLOOKUP(G31,'Hide - Calculation'!AQ:AS,3,FALSE)/$E$8,100000*((G31+1)*(1-1/(9*(G31+1))+1.96/(3*SQRT(G31+1)))^3)/$E$8))</f>
        <v>764.2509044401634</v>
      </c>
      <c r="K31" s="167">
        <f>IF('Hide - Calculation'!N25="","",'Hide - Calculation'!N25)</f>
        <v>456.0645033002136</v>
      </c>
      <c r="L31" s="169">
        <f>'Hide - Calculation'!O25</f>
        <v>562.6134400960308</v>
      </c>
      <c r="M31" s="170">
        <f>IF(ISBLANK('Hide - Calculation'!K25),"",'Hide - Calculation'!U25)</f>
        <v>232.12628173828125</v>
      </c>
      <c r="N31" s="171"/>
      <c r="O31" s="172"/>
      <c r="P31" s="172"/>
      <c r="Q31" s="172"/>
      <c r="R31" s="173"/>
      <c r="S31" s="173"/>
      <c r="T31" s="173"/>
      <c r="U31" s="173"/>
      <c r="V31" s="173"/>
      <c r="W31" s="173"/>
      <c r="X31" s="173"/>
      <c r="Y31" s="173"/>
      <c r="Z31" s="174"/>
      <c r="AA31" s="170">
        <f>IF(ISBLANK('Hide - Calculation'!K25),"",'Hide - Calculation'!T25)</f>
        <v>718.1719360351562</v>
      </c>
      <c r="AB31" s="233" t="s">
        <v>47</v>
      </c>
      <c r="AC31" s="175" t="s">
        <v>515</v>
      </c>
    </row>
    <row r="32" spans="2:29" s="63" customFormat="1" ht="33.75" customHeight="1">
      <c r="B32" s="305"/>
      <c r="C32" s="137">
        <v>20</v>
      </c>
      <c r="D32" s="132" t="s">
        <v>348</v>
      </c>
      <c r="E32" s="85"/>
      <c r="F32" s="85"/>
      <c r="G32" s="121">
        <f>IF(VLOOKUP('Hide - Control'!A$3,'All practice data'!A:CA,C32+4,FALSE)=" "," ",VLOOKUP('Hide - Control'!A$3,'All practice data'!A:CA,C32+4,FALSE))</f>
        <v>46</v>
      </c>
      <c r="H32" s="122">
        <f>IF(VLOOKUP('Hide - Control'!A$3,'All practice data'!A:CA,C32+30,FALSE)=" "," ",VLOOKUP('Hide - Control'!A$3,'All practice data'!A:CA,C32+30,FALSE))</f>
        <v>820.842255531763</v>
      </c>
      <c r="I32" s="123">
        <f>IF(LEFT(G32,1)=" "," n/a",IF(G32&lt;5,100000*VLOOKUP(G32,'Hide - Calculation'!AQ:AR,2,FALSE)/$E$8,100000*(G32*(1-1/(9*G32)-1.96/(3*SQRT(G32)))^3)/$E$8))</f>
        <v>600.9023710980907</v>
      </c>
      <c r="J32" s="123">
        <f>IF(LEFT(G32,1)=" "," n/a",IF(G32&lt;5,100000*VLOOKUP(G32,'Hide - Calculation'!AQ:AS,3,FALSE)/$E$8,100000*((G32+1)*(1-1/(9*(G32+1))+1.96/(3*SQRT(G32+1)))^3)/$E$8))</f>
        <v>1094.9190499800195</v>
      </c>
      <c r="K32" s="122">
        <f>IF('Hide - Calculation'!N26="","",'Hide - Calculation'!N26)</f>
        <v>953.3950399510794</v>
      </c>
      <c r="L32" s="156">
        <f>'Hide - Calculation'!O26</f>
        <v>405.57105879375996</v>
      </c>
      <c r="M32" s="148">
        <f>IF(ISBLANK('Hide - Calculation'!K26),"",'Hide - Calculation'!U26)</f>
        <v>377.833740234375</v>
      </c>
      <c r="N32" s="86"/>
      <c r="O32" s="87"/>
      <c r="P32" s="87"/>
      <c r="Q32" s="87"/>
      <c r="R32" s="84"/>
      <c r="S32" s="84"/>
      <c r="T32" s="84"/>
      <c r="U32" s="84"/>
      <c r="V32" s="84"/>
      <c r="W32" s="84"/>
      <c r="X32" s="84"/>
      <c r="Y32" s="84"/>
      <c r="Z32" s="88"/>
      <c r="AA32" s="148">
        <f>IF(ISBLANK('Hide - Calculation'!K26),"",'Hide - Calculation'!T26)</f>
        <v>1714.4986572265625</v>
      </c>
      <c r="AB32" s="234" t="s">
        <v>47</v>
      </c>
      <c r="AC32" s="131" t="s">
        <v>515</v>
      </c>
    </row>
    <row r="33" spans="2:29" s="63" customFormat="1" ht="33.75" customHeight="1">
      <c r="B33" s="305"/>
      <c r="C33" s="137">
        <v>21</v>
      </c>
      <c r="D33" s="132" t="s">
        <v>350</v>
      </c>
      <c r="E33" s="85"/>
      <c r="F33" s="85"/>
      <c r="G33" s="121">
        <f>IF(VLOOKUP('Hide - Control'!A$3,'All practice data'!A:CA,C33+4,FALSE)=" "," ",VLOOKUP('Hide - Control'!A$3,'All practice data'!A:CA,C33+4,FALSE))</f>
        <v>70</v>
      </c>
      <c r="H33" s="122">
        <f>IF(VLOOKUP('Hide - Control'!A$3,'All practice data'!A:CA,C33+30,FALSE)=" "," ",VLOOKUP('Hide - Control'!A$3,'All practice data'!A:CA,C33+30,FALSE))</f>
        <v>1249.1077801570307</v>
      </c>
      <c r="I33" s="123">
        <f>IF(LEFT(G33,1)=" "," n/a",IF(G33&lt;5,100000*VLOOKUP(G33,'Hide - Calculation'!AQ:AR,2,FALSE)/$E$8,100000*(G33*(1-1/(9*G33)-1.96/(3*SQRT(G33)))^3)/$E$8))</f>
        <v>973.694605524842</v>
      </c>
      <c r="J33" s="123">
        <f>IF(LEFT(G33,1)=" "," n/a",IF(G33&lt;5,100000*VLOOKUP(G33,'Hide - Calculation'!AQ:AS,3,FALSE)/$E$8,100000*((G33+1)*(1-1/(9*(G33+1))+1.96/(3*SQRT(G33+1)))^3)/$E$8))</f>
        <v>1578.2015785470899</v>
      </c>
      <c r="K33" s="122">
        <f>IF('Hide - Calculation'!N27="","",'Hide - Calculation'!N27)</f>
        <v>1291.2205979512376</v>
      </c>
      <c r="L33" s="156">
        <f>'Hide - Calculation'!O27</f>
        <v>1059.3522061277838</v>
      </c>
      <c r="M33" s="148">
        <f>IF(ISBLANK('Hide - Calculation'!K27),"",'Hide - Calculation'!U27)</f>
        <v>684.1715698242188</v>
      </c>
      <c r="N33" s="86"/>
      <c r="O33" s="87"/>
      <c r="P33" s="87"/>
      <c r="Q33" s="87"/>
      <c r="R33" s="84"/>
      <c r="S33" s="84"/>
      <c r="T33" s="84"/>
      <c r="U33" s="84"/>
      <c r="V33" s="84"/>
      <c r="W33" s="84"/>
      <c r="X33" s="84"/>
      <c r="Y33" s="84"/>
      <c r="Z33" s="88"/>
      <c r="AA33" s="148">
        <f>IF(ISBLANK('Hide - Calculation'!K27),"",'Hide - Calculation'!T27)</f>
        <v>2261.150390625</v>
      </c>
      <c r="AB33" s="234" t="s">
        <v>47</v>
      </c>
      <c r="AC33" s="131" t="s">
        <v>515</v>
      </c>
    </row>
    <row r="34" spans="2:29" s="63" customFormat="1" ht="33.75" customHeight="1">
      <c r="B34" s="305"/>
      <c r="C34" s="137">
        <v>22</v>
      </c>
      <c r="D34" s="132" t="s">
        <v>349</v>
      </c>
      <c r="E34" s="85"/>
      <c r="F34" s="85"/>
      <c r="G34" s="118">
        <f>IF(VLOOKUP('Hide - Control'!A$3,'All practice data'!A:CA,C34+4,FALSE)=" "," ",VLOOKUP('Hide - Control'!A$3,'All practice data'!A:CA,C34+4,FALSE))</f>
        <v>32</v>
      </c>
      <c r="H34" s="122">
        <f>IF(VLOOKUP('Hide - Control'!A$3,'All practice data'!A:CA,C34+30,FALSE)=" "," ",VLOOKUP('Hide - Control'!A$3,'All practice data'!A:CA,C34+30,FALSE))</f>
        <v>571.0206995003568</v>
      </c>
      <c r="I34" s="123">
        <f>IF(LEFT(G34,1)=" "," n/a",IF(G34&lt;5,100000*VLOOKUP(G34,'Hide - Calculation'!AQ:AR,2,FALSE)/$E$8,100000*(G34*(1-1/(9*G34)-1.96/(3*SQRT(G34)))^3)/$E$8))</f>
        <v>390.5074914760032</v>
      </c>
      <c r="J34" s="123">
        <f>IF(LEFT(G34,1)=" "," n/a",IF(G34&lt;5,100000*VLOOKUP(G34,'Hide - Calculation'!AQ:AS,3,FALSE)/$E$8,100000*((G34+1)*(1-1/(9*(G34+1))+1.96/(3*SQRT(G34+1)))^3)/$E$8))</f>
        <v>806.1421268425589</v>
      </c>
      <c r="K34" s="122">
        <f>IF('Hide - Calculation'!N28="","",'Hide - Calculation'!N28)</f>
        <v>658.3322108117007</v>
      </c>
      <c r="L34" s="156">
        <f>'Hide - Calculation'!O28</f>
        <v>582.9390489900089</v>
      </c>
      <c r="M34" s="148">
        <f>IF(ISBLANK('Hide - Calculation'!K28),"",'Hide - Calculation'!U28)</f>
        <v>238.14248657226562</v>
      </c>
      <c r="N34" s="86"/>
      <c r="O34" s="87"/>
      <c r="P34" s="87"/>
      <c r="Q34" s="87"/>
      <c r="R34" s="84"/>
      <c r="S34" s="84"/>
      <c r="T34" s="84"/>
      <c r="U34" s="84"/>
      <c r="V34" s="84"/>
      <c r="W34" s="84"/>
      <c r="X34" s="84"/>
      <c r="Y34" s="84"/>
      <c r="Z34" s="88"/>
      <c r="AA34" s="148">
        <f>IF(ISBLANK('Hide - Calculation'!K28),"",'Hide - Calculation'!T28)</f>
        <v>1203.686279296875</v>
      </c>
      <c r="AB34" s="234" t="s">
        <v>47</v>
      </c>
      <c r="AC34" s="131" t="s">
        <v>515</v>
      </c>
    </row>
    <row r="35" spans="2:29" s="63" customFormat="1" ht="33.75" customHeight="1">
      <c r="B35" s="305"/>
      <c r="C35" s="137">
        <v>23</v>
      </c>
      <c r="D35" s="138" t="s">
        <v>475</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335</v>
      </c>
      <c r="AC35" s="131">
        <v>2008</v>
      </c>
    </row>
    <row r="36" spans="2:29" ht="33.75" customHeight="1">
      <c r="B36" s="306"/>
      <c r="C36" s="137">
        <v>24</v>
      </c>
      <c r="D36" s="224" t="s">
        <v>476</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335</v>
      </c>
      <c r="AC36" s="131">
        <v>2008</v>
      </c>
    </row>
    <row r="37" spans="2:29" ht="33.75" customHeight="1" thickBot="1">
      <c r="B37" s="307"/>
      <c r="C37" s="176">
        <v>25</v>
      </c>
      <c r="D37" s="177" t="s">
        <v>351</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335</v>
      </c>
      <c r="AC37" s="149">
        <v>2008</v>
      </c>
    </row>
    <row r="38" spans="2:29" ht="16.5" customHeight="1">
      <c r="B38" s="69"/>
      <c r="C38" s="69"/>
      <c r="D38" s="65" t="s">
        <v>333</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571</v>
      </c>
      <c r="C39" s="244"/>
      <c r="D39" s="244"/>
      <c r="E39" s="303" t="s">
        <v>575</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501</v>
      </c>
      <c r="BE2" s="341"/>
      <c r="BF2" s="341"/>
      <c r="BG2" s="341"/>
      <c r="BH2" s="341"/>
      <c r="BI2" s="341"/>
      <c r="BJ2" s="342"/>
    </row>
    <row r="3" spans="1:82" s="72" customFormat="1" ht="76.5" customHeight="1">
      <c r="A3" s="266" t="s">
        <v>276</v>
      </c>
      <c r="B3" s="275" t="s">
        <v>277</v>
      </c>
      <c r="C3" s="276" t="s">
        <v>49</v>
      </c>
      <c r="D3" s="274" t="s">
        <v>485</v>
      </c>
      <c r="E3" s="267" t="s">
        <v>357</v>
      </c>
      <c r="F3" s="267" t="s">
        <v>468</v>
      </c>
      <c r="G3" s="267" t="s">
        <v>359</v>
      </c>
      <c r="H3" s="267" t="s">
        <v>360</v>
      </c>
      <c r="I3" s="267" t="s">
        <v>361</v>
      </c>
      <c r="J3" s="267" t="s">
        <v>510</v>
      </c>
      <c r="K3" s="267" t="s">
        <v>511</v>
      </c>
      <c r="L3" s="267" t="s">
        <v>512</v>
      </c>
      <c r="M3" s="267" t="s">
        <v>362</v>
      </c>
      <c r="N3" s="267" t="s">
        <v>363</v>
      </c>
      <c r="O3" s="267" t="s">
        <v>364</v>
      </c>
      <c r="P3" s="267" t="s">
        <v>500</v>
      </c>
      <c r="Q3" s="267" t="s">
        <v>365</v>
      </c>
      <c r="R3" s="267" t="s">
        <v>366</v>
      </c>
      <c r="S3" s="267" t="s">
        <v>367</v>
      </c>
      <c r="T3" s="267" t="s">
        <v>368</v>
      </c>
      <c r="U3" s="267" t="s">
        <v>369</v>
      </c>
      <c r="V3" s="267" t="s">
        <v>370</v>
      </c>
      <c r="W3" s="267" t="s">
        <v>371</v>
      </c>
      <c r="X3" s="267" t="s">
        <v>372</v>
      </c>
      <c r="Y3" s="267" t="s">
        <v>373</v>
      </c>
      <c r="Z3" s="267" t="s">
        <v>374</v>
      </c>
      <c r="AA3" s="267" t="s">
        <v>375</v>
      </c>
      <c r="AB3" s="267" t="s">
        <v>376</v>
      </c>
      <c r="AC3" s="267" t="s">
        <v>377</v>
      </c>
      <c r="AD3" s="268" t="s">
        <v>378</v>
      </c>
      <c r="AE3" s="268" t="s">
        <v>357</v>
      </c>
      <c r="AF3" s="269" t="s">
        <v>358</v>
      </c>
      <c r="AG3" s="268" t="s">
        <v>359</v>
      </c>
      <c r="AH3" s="268" t="s">
        <v>360</v>
      </c>
      <c r="AI3" s="268" t="s">
        <v>361</v>
      </c>
      <c r="AJ3" s="268" t="s">
        <v>510</v>
      </c>
      <c r="AK3" s="268" t="s">
        <v>511</v>
      </c>
      <c r="AL3" s="268" t="s">
        <v>512</v>
      </c>
      <c r="AM3" s="268" t="s">
        <v>362</v>
      </c>
      <c r="AN3" s="268" t="s">
        <v>363</v>
      </c>
      <c r="AO3" s="268" t="s">
        <v>364</v>
      </c>
      <c r="AP3" s="268" t="s">
        <v>500</v>
      </c>
      <c r="AQ3" s="268" t="s">
        <v>365</v>
      </c>
      <c r="AR3" s="268" t="s">
        <v>366</v>
      </c>
      <c r="AS3" s="268" t="s">
        <v>367</v>
      </c>
      <c r="AT3" s="268" t="s">
        <v>368</v>
      </c>
      <c r="AU3" s="268" t="s">
        <v>369</v>
      </c>
      <c r="AV3" s="268" t="s">
        <v>370</v>
      </c>
      <c r="AW3" s="268" t="s">
        <v>371</v>
      </c>
      <c r="AX3" s="268" t="s">
        <v>372</v>
      </c>
      <c r="AY3" s="270" t="s">
        <v>373</v>
      </c>
      <c r="AZ3" s="271" t="s">
        <v>374</v>
      </c>
      <c r="BA3" s="271" t="s">
        <v>375</v>
      </c>
      <c r="BB3" s="271" t="s">
        <v>376</v>
      </c>
      <c r="BC3" s="272" t="s">
        <v>377</v>
      </c>
      <c r="BD3" s="273" t="s">
        <v>498</v>
      </c>
      <c r="BE3" s="273" t="s">
        <v>499</v>
      </c>
      <c r="BF3" s="273" t="s">
        <v>506</v>
      </c>
      <c r="BG3" s="273" t="s">
        <v>507</v>
      </c>
      <c r="BH3" s="273" t="s">
        <v>505</v>
      </c>
      <c r="BI3" s="273" t="s">
        <v>508</v>
      </c>
      <c r="BJ3" s="273" t="s">
        <v>509</v>
      </c>
      <c r="BK3" s="73"/>
      <c r="BL3" s="73"/>
      <c r="BM3" s="73"/>
      <c r="BN3" s="73"/>
      <c r="BO3" s="73"/>
      <c r="BP3" s="73"/>
      <c r="BQ3" s="73"/>
      <c r="BR3" s="73"/>
      <c r="BS3" s="73"/>
      <c r="BT3" s="73"/>
      <c r="BU3" s="73"/>
      <c r="BV3" s="73"/>
      <c r="BW3" s="73"/>
      <c r="BX3" s="73"/>
      <c r="BY3" s="73"/>
      <c r="BZ3" s="73"/>
      <c r="CA3" s="73"/>
      <c r="CB3" s="73"/>
      <c r="CC3" s="73"/>
      <c r="CD3" s="73"/>
    </row>
    <row r="4" spans="1:66" ht="12.75">
      <c r="A4" s="79" t="s">
        <v>537</v>
      </c>
      <c r="B4" s="79" t="s">
        <v>303</v>
      </c>
      <c r="C4" s="79" t="s">
        <v>198</v>
      </c>
      <c r="D4" s="99">
        <v>5604</v>
      </c>
      <c r="E4" s="99">
        <v>1211</v>
      </c>
      <c r="F4" s="99" t="s">
        <v>354</v>
      </c>
      <c r="G4" s="99">
        <v>27</v>
      </c>
      <c r="H4" s="99">
        <v>16</v>
      </c>
      <c r="I4" s="99">
        <v>109</v>
      </c>
      <c r="J4" s="99">
        <v>534</v>
      </c>
      <c r="K4" s="99">
        <v>11</v>
      </c>
      <c r="L4" s="99">
        <v>1022</v>
      </c>
      <c r="M4" s="99">
        <v>364</v>
      </c>
      <c r="N4" s="99">
        <v>219</v>
      </c>
      <c r="O4" s="99">
        <v>82</v>
      </c>
      <c r="P4" s="159">
        <v>82</v>
      </c>
      <c r="Q4" s="99">
        <v>8</v>
      </c>
      <c r="R4" s="99">
        <v>17</v>
      </c>
      <c r="S4" s="99">
        <v>23</v>
      </c>
      <c r="T4" s="99">
        <v>9</v>
      </c>
      <c r="U4" s="99">
        <v>7</v>
      </c>
      <c r="V4" s="99" t="s">
        <v>574</v>
      </c>
      <c r="W4" s="99">
        <v>30</v>
      </c>
      <c r="X4" s="99">
        <v>46</v>
      </c>
      <c r="Y4" s="99">
        <v>70</v>
      </c>
      <c r="Z4" s="99">
        <v>32</v>
      </c>
      <c r="AA4" s="99" t="s">
        <v>574</v>
      </c>
      <c r="AB4" s="99" t="s">
        <v>574</v>
      </c>
      <c r="AC4" s="99" t="s">
        <v>574</v>
      </c>
      <c r="AD4" s="98" t="s">
        <v>333</v>
      </c>
      <c r="AE4" s="100">
        <v>0.21609564596716632</v>
      </c>
      <c r="AF4" s="100">
        <v>0.1</v>
      </c>
      <c r="AG4" s="98">
        <v>481.7987152034261</v>
      </c>
      <c r="AH4" s="98">
        <v>285.5103497501784</v>
      </c>
      <c r="AI4" s="100">
        <v>0.019</v>
      </c>
      <c r="AJ4" s="100">
        <v>0.724559</v>
      </c>
      <c r="AK4" s="100">
        <v>0.578947</v>
      </c>
      <c r="AL4" s="100">
        <v>0.748718</v>
      </c>
      <c r="AM4" s="100">
        <v>0.541667</v>
      </c>
      <c r="AN4" s="100">
        <v>0.611732</v>
      </c>
      <c r="AO4" s="98">
        <v>1463.2405424696644</v>
      </c>
      <c r="AP4" s="158">
        <v>0.6895890045</v>
      </c>
      <c r="AQ4" s="100">
        <v>0.0975609756097561</v>
      </c>
      <c r="AR4" s="100">
        <v>0.47058823529411764</v>
      </c>
      <c r="AS4" s="98">
        <v>410.4211277658815</v>
      </c>
      <c r="AT4" s="98">
        <v>160.59957173447538</v>
      </c>
      <c r="AU4" s="98">
        <v>124.91077801570307</v>
      </c>
      <c r="AV4" s="98" t="s">
        <v>574</v>
      </c>
      <c r="AW4" s="98">
        <v>535.3319057815846</v>
      </c>
      <c r="AX4" s="98">
        <v>820.842255531763</v>
      </c>
      <c r="AY4" s="98">
        <v>1249.1077801570307</v>
      </c>
      <c r="AZ4" s="98">
        <v>571.0206995003568</v>
      </c>
      <c r="BA4" s="101" t="s">
        <v>574</v>
      </c>
      <c r="BB4" s="101" t="s">
        <v>574</v>
      </c>
      <c r="BC4" s="101" t="s">
        <v>574</v>
      </c>
      <c r="BD4" s="158">
        <v>0.5484505844</v>
      </c>
      <c r="BE4" s="158">
        <v>0.8559617615</v>
      </c>
      <c r="BF4" s="162">
        <v>737</v>
      </c>
      <c r="BG4" s="162">
        <v>19</v>
      </c>
      <c r="BH4" s="162">
        <v>1365</v>
      </c>
      <c r="BI4" s="162">
        <v>672</v>
      </c>
      <c r="BJ4" s="162">
        <v>358</v>
      </c>
      <c r="BK4" s="97"/>
      <c r="BL4" s="97"/>
      <c r="BM4" s="97"/>
      <c r="BN4" s="97"/>
    </row>
    <row r="5" spans="1:66" ht="12.75">
      <c r="A5" s="79" t="s">
        <v>577</v>
      </c>
      <c r="B5" s="79" t="s">
        <v>295</v>
      </c>
      <c r="C5" s="79" t="s">
        <v>198</v>
      </c>
      <c r="D5" s="99">
        <v>21284</v>
      </c>
      <c r="E5" s="99">
        <v>3957</v>
      </c>
      <c r="F5" s="99" t="s">
        <v>356</v>
      </c>
      <c r="G5" s="99">
        <v>132</v>
      </c>
      <c r="H5" s="99">
        <v>55</v>
      </c>
      <c r="I5" s="99">
        <v>415</v>
      </c>
      <c r="J5" s="99">
        <v>2295</v>
      </c>
      <c r="K5" s="99">
        <v>24</v>
      </c>
      <c r="L5" s="99">
        <v>4226</v>
      </c>
      <c r="M5" s="99">
        <v>1582</v>
      </c>
      <c r="N5" s="99">
        <v>854</v>
      </c>
      <c r="O5" s="99">
        <v>413</v>
      </c>
      <c r="P5" s="159">
        <v>413</v>
      </c>
      <c r="Q5" s="99">
        <v>57</v>
      </c>
      <c r="R5" s="99">
        <v>100</v>
      </c>
      <c r="S5" s="99">
        <v>92</v>
      </c>
      <c r="T5" s="99">
        <v>69</v>
      </c>
      <c r="U5" s="99">
        <v>22</v>
      </c>
      <c r="V5" s="99">
        <v>46</v>
      </c>
      <c r="W5" s="99">
        <v>93</v>
      </c>
      <c r="X5" s="99">
        <v>238</v>
      </c>
      <c r="Y5" s="99">
        <v>304</v>
      </c>
      <c r="Z5" s="99">
        <v>118</v>
      </c>
      <c r="AA5" s="99" t="s">
        <v>574</v>
      </c>
      <c r="AB5" s="99" t="s">
        <v>574</v>
      </c>
      <c r="AC5" s="99" t="s">
        <v>574</v>
      </c>
      <c r="AD5" s="98" t="s">
        <v>333</v>
      </c>
      <c r="AE5" s="100">
        <v>0.18591430182296562</v>
      </c>
      <c r="AF5" s="100">
        <v>0.08</v>
      </c>
      <c r="AG5" s="98">
        <v>620.1841759067844</v>
      </c>
      <c r="AH5" s="98">
        <v>258.41007329449354</v>
      </c>
      <c r="AI5" s="100">
        <v>0.019</v>
      </c>
      <c r="AJ5" s="100">
        <v>0.776387</v>
      </c>
      <c r="AK5" s="100">
        <v>0.6</v>
      </c>
      <c r="AL5" s="100">
        <v>0.782013</v>
      </c>
      <c r="AM5" s="100">
        <v>0.581832</v>
      </c>
      <c r="AN5" s="100">
        <v>0.610436</v>
      </c>
      <c r="AO5" s="98">
        <v>1940.4247321931969</v>
      </c>
      <c r="AP5" s="158">
        <v>0.9651808929000001</v>
      </c>
      <c r="AQ5" s="100">
        <v>0.13801452784503632</v>
      </c>
      <c r="AR5" s="100">
        <v>0.57</v>
      </c>
      <c r="AS5" s="98">
        <v>432.24957714715276</v>
      </c>
      <c r="AT5" s="98">
        <v>324.1871828603646</v>
      </c>
      <c r="AU5" s="98">
        <v>103.3640293177974</v>
      </c>
      <c r="AV5" s="98">
        <v>216.12478857357638</v>
      </c>
      <c r="AW5" s="98">
        <v>436.94794211614357</v>
      </c>
      <c r="AX5" s="98">
        <v>1118.2108626198083</v>
      </c>
      <c r="AY5" s="98">
        <v>1428.3029505732006</v>
      </c>
      <c r="AZ5" s="98">
        <v>554.4070663409134</v>
      </c>
      <c r="BA5" s="100" t="s">
        <v>574</v>
      </c>
      <c r="BB5" s="100" t="s">
        <v>574</v>
      </c>
      <c r="BC5" s="100" t="s">
        <v>574</v>
      </c>
      <c r="BD5" s="158">
        <v>0.8743263245</v>
      </c>
      <c r="BE5" s="158">
        <v>1.062910843</v>
      </c>
      <c r="BF5" s="162">
        <v>2956</v>
      </c>
      <c r="BG5" s="162">
        <v>40</v>
      </c>
      <c r="BH5" s="162">
        <v>5404</v>
      </c>
      <c r="BI5" s="162">
        <v>2719</v>
      </c>
      <c r="BJ5" s="162">
        <v>1399</v>
      </c>
      <c r="BK5" s="97"/>
      <c r="BL5" s="97"/>
      <c r="BM5" s="97"/>
      <c r="BN5" s="97"/>
    </row>
    <row r="6" spans="1:66" ht="12.75">
      <c r="A6" s="79" t="s">
        <v>525</v>
      </c>
      <c r="B6" s="79" t="s">
        <v>289</v>
      </c>
      <c r="C6" s="79" t="s">
        <v>198</v>
      </c>
      <c r="D6" s="99">
        <v>10816</v>
      </c>
      <c r="E6" s="99">
        <v>2012</v>
      </c>
      <c r="F6" s="99" t="s">
        <v>356</v>
      </c>
      <c r="G6" s="99">
        <v>48</v>
      </c>
      <c r="H6" s="99">
        <v>23</v>
      </c>
      <c r="I6" s="99">
        <v>164</v>
      </c>
      <c r="J6" s="99">
        <v>1265</v>
      </c>
      <c r="K6" s="99">
        <v>1195</v>
      </c>
      <c r="L6" s="99">
        <v>2134</v>
      </c>
      <c r="M6" s="99">
        <v>865</v>
      </c>
      <c r="N6" s="99">
        <v>488</v>
      </c>
      <c r="O6" s="99">
        <v>82</v>
      </c>
      <c r="P6" s="159">
        <v>82</v>
      </c>
      <c r="Q6" s="99">
        <v>16</v>
      </c>
      <c r="R6" s="99">
        <v>49</v>
      </c>
      <c r="S6" s="99">
        <v>24</v>
      </c>
      <c r="T6" s="99">
        <v>29</v>
      </c>
      <c r="U6" s="99" t="s">
        <v>574</v>
      </c>
      <c r="V6" s="99">
        <v>11</v>
      </c>
      <c r="W6" s="99">
        <v>43</v>
      </c>
      <c r="X6" s="99">
        <v>81</v>
      </c>
      <c r="Y6" s="99">
        <v>74</v>
      </c>
      <c r="Z6" s="99">
        <v>53</v>
      </c>
      <c r="AA6" s="99" t="s">
        <v>574</v>
      </c>
      <c r="AB6" s="99" t="s">
        <v>574</v>
      </c>
      <c r="AC6" s="99" t="s">
        <v>574</v>
      </c>
      <c r="AD6" s="98" t="s">
        <v>333</v>
      </c>
      <c r="AE6" s="100">
        <v>0.1860207100591716</v>
      </c>
      <c r="AF6" s="100">
        <v>0.05</v>
      </c>
      <c r="AG6" s="98">
        <v>443.7869822485207</v>
      </c>
      <c r="AH6" s="98">
        <v>212.64792899408283</v>
      </c>
      <c r="AI6" s="100">
        <v>0.015</v>
      </c>
      <c r="AJ6" s="100">
        <v>0.80522</v>
      </c>
      <c r="AK6" s="100">
        <v>0.785667</v>
      </c>
      <c r="AL6" s="100">
        <v>0.775718</v>
      </c>
      <c r="AM6" s="100">
        <v>0.588836</v>
      </c>
      <c r="AN6" s="100">
        <v>0.628866</v>
      </c>
      <c r="AO6" s="98">
        <v>758.1360946745563</v>
      </c>
      <c r="AP6" s="158">
        <v>0.3685514832</v>
      </c>
      <c r="AQ6" s="100">
        <v>0.1951219512195122</v>
      </c>
      <c r="AR6" s="100">
        <v>0.32653061224489793</v>
      </c>
      <c r="AS6" s="98">
        <v>221.89349112426035</v>
      </c>
      <c r="AT6" s="98">
        <v>268.1213017751479</v>
      </c>
      <c r="AU6" s="98" t="s">
        <v>574</v>
      </c>
      <c r="AV6" s="98">
        <v>101.70118343195266</v>
      </c>
      <c r="AW6" s="98">
        <v>397.5591715976331</v>
      </c>
      <c r="AX6" s="98">
        <v>748.8905325443787</v>
      </c>
      <c r="AY6" s="98">
        <v>684.1715976331361</v>
      </c>
      <c r="AZ6" s="98">
        <v>490.0147928994083</v>
      </c>
      <c r="BA6" s="100" t="s">
        <v>574</v>
      </c>
      <c r="BB6" s="100" t="s">
        <v>574</v>
      </c>
      <c r="BC6" s="100" t="s">
        <v>574</v>
      </c>
      <c r="BD6" s="158">
        <v>0.29311994550000003</v>
      </c>
      <c r="BE6" s="158">
        <v>0.4574695587</v>
      </c>
      <c r="BF6" s="162">
        <v>1571</v>
      </c>
      <c r="BG6" s="162">
        <v>1521</v>
      </c>
      <c r="BH6" s="162">
        <v>2751</v>
      </c>
      <c r="BI6" s="162">
        <v>1469</v>
      </c>
      <c r="BJ6" s="162">
        <v>776</v>
      </c>
      <c r="BK6" s="97"/>
      <c r="BL6" s="97"/>
      <c r="BM6" s="97"/>
      <c r="BN6" s="97"/>
    </row>
    <row r="7" spans="1:66" ht="12.75">
      <c r="A7" s="79" t="s">
        <v>564</v>
      </c>
      <c r="B7" s="79" t="s">
        <v>329</v>
      </c>
      <c r="C7" s="79" t="s">
        <v>198</v>
      </c>
      <c r="D7" s="99">
        <v>5039</v>
      </c>
      <c r="E7" s="99">
        <v>583</v>
      </c>
      <c r="F7" s="99" t="s">
        <v>354</v>
      </c>
      <c r="G7" s="99">
        <v>24</v>
      </c>
      <c r="H7" s="99">
        <v>8</v>
      </c>
      <c r="I7" s="99">
        <v>72</v>
      </c>
      <c r="J7" s="99">
        <v>363</v>
      </c>
      <c r="K7" s="99">
        <v>362</v>
      </c>
      <c r="L7" s="99">
        <v>972</v>
      </c>
      <c r="M7" s="99">
        <v>190</v>
      </c>
      <c r="N7" s="99">
        <v>106</v>
      </c>
      <c r="O7" s="99">
        <v>49</v>
      </c>
      <c r="P7" s="159">
        <v>49</v>
      </c>
      <c r="Q7" s="99" t="s">
        <v>574</v>
      </c>
      <c r="R7" s="99">
        <v>18</v>
      </c>
      <c r="S7" s="99">
        <v>20</v>
      </c>
      <c r="T7" s="99">
        <v>8</v>
      </c>
      <c r="U7" s="99" t="s">
        <v>574</v>
      </c>
      <c r="V7" s="99">
        <v>6</v>
      </c>
      <c r="W7" s="99">
        <v>25</v>
      </c>
      <c r="X7" s="99">
        <v>38</v>
      </c>
      <c r="Y7" s="99">
        <v>40</v>
      </c>
      <c r="Z7" s="99">
        <v>12</v>
      </c>
      <c r="AA7" s="99" t="s">
        <v>574</v>
      </c>
      <c r="AB7" s="99" t="s">
        <v>574</v>
      </c>
      <c r="AC7" s="99" t="s">
        <v>574</v>
      </c>
      <c r="AD7" s="98" t="s">
        <v>333</v>
      </c>
      <c r="AE7" s="100">
        <v>0.11569755903949196</v>
      </c>
      <c r="AF7" s="100">
        <v>0.1</v>
      </c>
      <c r="AG7" s="98">
        <v>476.2849771780115</v>
      </c>
      <c r="AH7" s="98">
        <v>158.76165905933718</v>
      </c>
      <c r="AI7" s="100">
        <v>0.013999999999999999</v>
      </c>
      <c r="AJ7" s="100">
        <v>0.730382</v>
      </c>
      <c r="AK7" s="100">
        <v>0.732794</v>
      </c>
      <c r="AL7" s="100">
        <v>0.75819</v>
      </c>
      <c r="AM7" s="100">
        <v>0.497382</v>
      </c>
      <c r="AN7" s="100">
        <v>0.54359</v>
      </c>
      <c r="AO7" s="98">
        <v>972.4151617384401</v>
      </c>
      <c r="AP7" s="158">
        <v>0.5951996613</v>
      </c>
      <c r="AQ7" s="100" t="s">
        <v>574</v>
      </c>
      <c r="AR7" s="100" t="s">
        <v>574</v>
      </c>
      <c r="AS7" s="98">
        <v>396.9041476483429</v>
      </c>
      <c r="AT7" s="98">
        <v>158.76165905933718</v>
      </c>
      <c r="AU7" s="98" t="s">
        <v>574</v>
      </c>
      <c r="AV7" s="98">
        <v>119.07124429450288</v>
      </c>
      <c r="AW7" s="98">
        <v>496.13018456042863</v>
      </c>
      <c r="AX7" s="98">
        <v>754.1178805318516</v>
      </c>
      <c r="AY7" s="98">
        <v>793.8082952966859</v>
      </c>
      <c r="AZ7" s="98">
        <v>238.14248858900575</v>
      </c>
      <c r="BA7" s="101" t="s">
        <v>574</v>
      </c>
      <c r="BB7" s="101" t="s">
        <v>574</v>
      </c>
      <c r="BC7" s="101" t="s">
        <v>574</v>
      </c>
      <c r="BD7" s="158">
        <v>0.4403319931</v>
      </c>
      <c r="BE7" s="158">
        <v>0.7868855286</v>
      </c>
      <c r="BF7" s="162">
        <v>497</v>
      </c>
      <c r="BG7" s="162">
        <v>494</v>
      </c>
      <c r="BH7" s="162">
        <v>1282</v>
      </c>
      <c r="BI7" s="162">
        <v>382</v>
      </c>
      <c r="BJ7" s="162">
        <v>195</v>
      </c>
      <c r="BK7" s="97"/>
      <c r="BL7" s="97"/>
      <c r="BM7" s="97"/>
      <c r="BN7" s="97"/>
    </row>
    <row r="8" spans="1:66" ht="12.75">
      <c r="A8" s="79" t="s">
        <v>546</v>
      </c>
      <c r="B8" s="79" t="s">
        <v>312</v>
      </c>
      <c r="C8" s="79" t="s">
        <v>198</v>
      </c>
      <c r="D8" s="99">
        <v>3688</v>
      </c>
      <c r="E8" s="99">
        <v>997</v>
      </c>
      <c r="F8" s="99" t="s">
        <v>356</v>
      </c>
      <c r="G8" s="99">
        <v>24</v>
      </c>
      <c r="H8" s="99">
        <v>14</v>
      </c>
      <c r="I8" s="99">
        <v>97</v>
      </c>
      <c r="J8" s="99">
        <v>460</v>
      </c>
      <c r="K8" s="99">
        <v>12</v>
      </c>
      <c r="L8" s="99">
        <v>668</v>
      </c>
      <c r="M8" s="99">
        <v>351</v>
      </c>
      <c r="N8" s="99">
        <v>180</v>
      </c>
      <c r="O8" s="99">
        <v>108</v>
      </c>
      <c r="P8" s="159">
        <v>108</v>
      </c>
      <c r="Q8" s="99">
        <v>12</v>
      </c>
      <c r="R8" s="99">
        <v>21</v>
      </c>
      <c r="S8" s="99">
        <v>36</v>
      </c>
      <c r="T8" s="99">
        <v>19</v>
      </c>
      <c r="U8" s="99" t="s">
        <v>574</v>
      </c>
      <c r="V8" s="99">
        <v>17</v>
      </c>
      <c r="W8" s="99">
        <v>14</v>
      </c>
      <c r="X8" s="99">
        <v>19</v>
      </c>
      <c r="Y8" s="99">
        <v>35</v>
      </c>
      <c r="Z8" s="99">
        <v>29</v>
      </c>
      <c r="AA8" s="99" t="s">
        <v>574</v>
      </c>
      <c r="AB8" s="99" t="s">
        <v>574</v>
      </c>
      <c r="AC8" s="99" t="s">
        <v>574</v>
      </c>
      <c r="AD8" s="98" t="s">
        <v>333</v>
      </c>
      <c r="AE8" s="100">
        <v>0.2703362255965293</v>
      </c>
      <c r="AF8" s="100">
        <v>0.05</v>
      </c>
      <c r="AG8" s="98">
        <v>650.7592190889371</v>
      </c>
      <c r="AH8" s="98">
        <v>379.60954446854663</v>
      </c>
      <c r="AI8" s="100">
        <v>0.026000000000000002</v>
      </c>
      <c r="AJ8" s="100">
        <v>0.771812</v>
      </c>
      <c r="AK8" s="100">
        <v>0.705882</v>
      </c>
      <c r="AL8" s="100">
        <v>0.848793</v>
      </c>
      <c r="AM8" s="100">
        <v>0.6</v>
      </c>
      <c r="AN8" s="100">
        <v>0.602007</v>
      </c>
      <c r="AO8" s="98">
        <v>2928.416485900217</v>
      </c>
      <c r="AP8" s="158">
        <v>1.210691376</v>
      </c>
      <c r="AQ8" s="100">
        <v>0.1111111111111111</v>
      </c>
      <c r="AR8" s="100">
        <v>0.5714285714285714</v>
      </c>
      <c r="AS8" s="98">
        <v>976.1388286334056</v>
      </c>
      <c r="AT8" s="98">
        <v>515.1843817787419</v>
      </c>
      <c r="AU8" s="98" t="s">
        <v>574</v>
      </c>
      <c r="AV8" s="98">
        <v>460.9544468546638</v>
      </c>
      <c r="AW8" s="98">
        <v>379.60954446854663</v>
      </c>
      <c r="AX8" s="98">
        <v>515.1843817787419</v>
      </c>
      <c r="AY8" s="98">
        <v>949.0238611713665</v>
      </c>
      <c r="AZ8" s="98">
        <v>786.3340563991324</v>
      </c>
      <c r="BA8" s="100" t="s">
        <v>574</v>
      </c>
      <c r="BB8" s="100" t="s">
        <v>574</v>
      </c>
      <c r="BC8" s="100" t="s">
        <v>574</v>
      </c>
      <c r="BD8" s="158">
        <v>0.9931536101999999</v>
      </c>
      <c r="BE8" s="158">
        <v>1.461716003</v>
      </c>
      <c r="BF8" s="162">
        <v>596</v>
      </c>
      <c r="BG8" s="162">
        <v>17</v>
      </c>
      <c r="BH8" s="162">
        <v>787</v>
      </c>
      <c r="BI8" s="162">
        <v>585</v>
      </c>
      <c r="BJ8" s="162">
        <v>299</v>
      </c>
      <c r="BK8" s="97"/>
      <c r="BL8" s="97"/>
      <c r="BM8" s="97"/>
      <c r="BN8" s="97"/>
    </row>
    <row r="9" spans="1:66" ht="12.75">
      <c r="A9" s="79" t="s">
        <v>548</v>
      </c>
      <c r="B9" s="79" t="s">
        <v>314</v>
      </c>
      <c r="C9" s="79" t="s">
        <v>198</v>
      </c>
      <c r="D9" s="99">
        <v>4692</v>
      </c>
      <c r="E9" s="99">
        <v>950</v>
      </c>
      <c r="F9" s="99" t="s">
        <v>356</v>
      </c>
      <c r="G9" s="99">
        <v>34</v>
      </c>
      <c r="H9" s="99">
        <v>17</v>
      </c>
      <c r="I9" s="99">
        <v>121</v>
      </c>
      <c r="J9" s="99">
        <v>615</v>
      </c>
      <c r="K9" s="99">
        <v>6</v>
      </c>
      <c r="L9" s="99">
        <v>1020</v>
      </c>
      <c r="M9" s="99">
        <v>463</v>
      </c>
      <c r="N9" s="99">
        <v>264</v>
      </c>
      <c r="O9" s="99">
        <v>100</v>
      </c>
      <c r="P9" s="159">
        <v>100</v>
      </c>
      <c r="Q9" s="99">
        <v>13</v>
      </c>
      <c r="R9" s="99">
        <v>29</v>
      </c>
      <c r="S9" s="99">
        <v>12</v>
      </c>
      <c r="T9" s="99">
        <v>21</v>
      </c>
      <c r="U9" s="99" t="s">
        <v>574</v>
      </c>
      <c r="V9" s="99">
        <v>12</v>
      </c>
      <c r="W9" s="99">
        <v>25</v>
      </c>
      <c r="X9" s="99">
        <v>38</v>
      </c>
      <c r="Y9" s="99">
        <v>42</v>
      </c>
      <c r="Z9" s="99">
        <v>28</v>
      </c>
      <c r="AA9" s="99" t="s">
        <v>574</v>
      </c>
      <c r="AB9" s="99" t="s">
        <v>574</v>
      </c>
      <c r="AC9" s="99" t="s">
        <v>574</v>
      </c>
      <c r="AD9" s="98" t="s">
        <v>333</v>
      </c>
      <c r="AE9" s="100">
        <v>0.20247229326513214</v>
      </c>
      <c r="AF9" s="100">
        <v>0.08</v>
      </c>
      <c r="AG9" s="98">
        <v>724.6376811594203</v>
      </c>
      <c r="AH9" s="98">
        <v>362.3188405797101</v>
      </c>
      <c r="AI9" s="100">
        <v>0.026000000000000002</v>
      </c>
      <c r="AJ9" s="100">
        <v>0.792526</v>
      </c>
      <c r="AK9" s="100">
        <v>0.75</v>
      </c>
      <c r="AL9" s="100">
        <v>0.85213</v>
      </c>
      <c r="AM9" s="100">
        <v>0.605229</v>
      </c>
      <c r="AN9" s="100">
        <v>0.640777</v>
      </c>
      <c r="AO9" s="98">
        <v>2131.287297527707</v>
      </c>
      <c r="AP9" s="158">
        <v>0.9758967590000001</v>
      </c>
      <c r="AQ9" s="100">
        <v>0.13</v>
      </c>
      <c r="AR9" s="100">
        <v>0.4482758620689655</v>
      </c>
      <c r="AS9" s="98">
        <v>255.7544757033248</v>
      </c>
      <c r="AT9" s="98">
        <v>447.5703324808184</v>
      </c>
      <c r="AU9" s="98" t="s">
        <v>574</v>
      </c>
      <c r="AV9" s="98">
        <v>255.7544757033248</v>
      </c>
      <c r="AW9" s="98">
        <v>532.8218243819267</v>
      </c>
      <c r="AX9" s="98">
        <v>809.8891730605286</v>
      </c>
      <c r="AY9" s="98">
        <v>895.1406649616368</v>
      </c>
      <c r="AZ9" s="98">
        <v>596.7604433077579</v>
      </c>
      <c r="BA9" s="100" t="s">
        <v>574</v>
      </c>
      <c r="BB9" s="100" t="s">
        <v>574</v>
      </c>
      <c r="BC9" s="100" t="s">
        <v>574</v>
      </c>
      <c r="BD9" s="158">
        <v>0.7940285492</v>
      </c>
      <c r="BE9" s="158">
        <v>1.186951904</v>
      </c>
      <c r="BF9" s="162">
        <v>776</v>
      </c>
      <c r="BG9" s="162">
        <v>8</v>
      </c>
      <c r="BH9" s="162">
        <v>1197</v>
      </c>
      <c r="BI9" s="162">
        <v>765</v>
      </c>
      <c r="BJ9" s="162">
        <v>412</v>
      </c>
      <c r="BK9" s="97"/>
      <c r="BL9" s="97"/>
      <c r="BM9" s="97"/>
      <c r="BN9" s="97"/>
    </row>
    <row r="10" spans="1:66" ht="12.75">
      <c r="A10" s="79" t="s">
        <v>543</v>
      </c>
      <c r="B10" s="79" t="s">
        <v>309</v>
      </c>
      <c r="C10" s="79" t="s">
        <v>198</v>
      </c>
      <c r="D10" s="99">
        <v>14950</v>
      </c>
      <c r="E10" s="99">
        <v>2598</v>
      </c>
      <c r="F10" s="99" t="s">
        <v>354</v>
      </c>
      <c r="G10" s="99">
        <v>83</v>
      </c>
      <c r="H10" s="99">
        <v>35</v>
      </c>
      <c r="I10" s="99">
        <v>275</v>
      </c>
      <c r="J10" s="99">
        <v>1593</v>
      </c>
      <c r="K10" s="99">
        <v>6</v>
      </c>
      <c r="L10" s="99">
        <v>2832</v>
      </c>
      <c r="M10" s="99">
        <v>1054</v>
      </c>
      <c r="N10" s="99">
        <v>565</v>
      </c>
      <c r="O10" s="99">
        <v>334</v>
      </c>
      <c r="P10" s="159">
        <v>334</v>
      </c>
      <c r="Q10" s="99">
        <v>33</v>
      </c>
      <c r="R10" s="99">
        <v>59</v>
      </c>
      <c r="S10" s="99">
        <v>83</v>
      </c>
      <c r="T10" s="99">
        <v>50</v>
      </c>
      <c r="U10" s="99">
        <v>16</v>
      </c>
      <c r="V10" s="99">
        <v>59</v>
      </c>
      <c r="W10" s="99">
        <v>69</v>
      </c>
      <c r="X10" s="99">
        <v>143</v>
      </c>
      <c r="Y10" s="99">
        <v>170</v>
      </c>
      <c r="Z10" s="99">
        <v>97</v>
      </c>
      <c r="AA10" s="99" t="s">
        <v>574</v>
      </c>
      <c r="AB10" s="99" t="s">
        <v>574</v>
      </c>
      <c r="AC10" s="99" t="s">
        <v>574</v>
      </c>
      <c r="AD10" s="98" t="s">
        <v>333</v>
      </c>
      <c r="AE10" s="100">
        <v>0.17377926421404682</v>
      </c>
      <c r="AF10" s="100">
        <v>0.1</v>
      </c>
      <c r="AG10" s="98">
        <v>555.1839464882943</v>
      </c>
      <c r="AH10" s="98">
        <v>234.11371237458195</v>
      </c>
      <c r="AI10" s="100">
        <v>0.018000000000000002</v>
      </c>
      <c r="AJ10" s="100">
        <v>0.783957</v>
      </c>
      <c r="AK10" s="100">
        <v>0.5</v>
      </c>
      <c r="AL10" s="100">
        <v>0.757422</v>
      </c>
      <c r="AM10" s="100">
        <v>0.580396</v>
      </c>
      <c r="AN10" s="100">
        <v>0.61614</v>
      </c>
      <c r="AO10" s="98">
        <v>2234.113712374582</v>
      </c>
      <c r="AP10" s="158">
        <v>1.139164581</v>
      </c>
      <c r="AQ10" s="100">
        <v>0.09880239520958084</v>
      </c>
      <c r="AR10" s="100">
        <v>0.559322033898305</v>
      </c>
      <c r="AS10" s="98">
        <v>555.1839464882943</v>
      </c>
      <c r="AT10" s="98">
        <v>334.44816053511704</v>
      </c>
      <c r="AU10" s="98">
        <v>107.02341137123746</v>
      </c>
      <c r="AV10" s="98">
        <v>394.6488294314381</v>
      </c>
      <c r="AW10" s="98">
        <v>461.53846153846155</v>
      </c>
      <c r="AX10" s="98">
        <v>956.5217391304348</v>
      </c>
      <c r="AY10" s="98">
        <v>1137.123745819398</v>
      </c>
      <c r="AZ10" s="98">
        <v>648.8294314381271</v>
      </c>
      <c r="BA10" s="100" t="s">
        <v>574</v>
      </c>
      <c r="BB10" s="100" t="s">
        <v>574</v>
      </c>
      <c r="BC10" s="100" t="s">
        <v>574</v>
      </c>
      <c r="BD10" s="158">
        <v>1.020257339</v>
      </c>
      <c r="BE10" s="158">
        <v>1.268124847</v>
      </c>
      <c r="BF10" s="162">
        <v>2032</v>
      </c>
      <c r="BG10" s="162">
        <v>12</v>
      </c>
      <c r="BH10" s="162">
        <v>3739</v>
      </c>
      <c r="BI10" s="162">
        <v>1816</v>
      </c>
      <c r="BJ10" s="162">
        <v>917</v>
      </c>
      <c r="BK10" s="97"/>
      <c r="BL10" s="97"/>
      <c r="BM10" s="97"/>
      <c r="BN10" s="97"/>
    </row>
    <row r="11" spans="1:66" ht="12.75">
      <c r="A11" s="79" t="s">
        <v>555</v>
      </c>
      <c r="B11" s="79" t="s">
        <v>497</v>
      </c>
      <c r="C11" s="79" t="s">
        <v>198</v>
      </c>
      <c r="D11" s="99">
        <v>23825</v>
      </c>
      <c r="E11" s="99">
        <v>4312</v>
      </c>
      <c r="F11" s="99" t="s">
        <v>356</v>
      </c>
      <c r="G11" s="99">
        <v>117</v>
      </c>
      <c r="H11" s="99">
        <v>49</v>
      </c>
      <c r="I11" s="99">
        <v>492</v>
      </c>
      <c r="J11" s="99">
        <v>2489</v>
      </c>
      <c r="K11" s="99">
        <v>16</v>
      </c>
      <c r="L11" s="99">
        <v>4759</v>
      </c>
      <c r="M11" s="99">
        <v>1727</v>
      </c>
      <c r="N11" s="99">
        <v>921</v>
      </c>
      <c r="O11" s="99">
        <v>373</v>
      </c>
      <c r="P11" s="159">
        <v>373</v>
      </c>
      <c r="Q11" s="99">
        <v>54</v>
      </c>
      <c r="R11" s="99">
        <v>112</v>
      </c>
      <c r="S11" s="99">
        <v>119</v>
      </c>
      <c r="T11" s="99">
        <v>38</v>
      </c>
      <c r="U11" s="99">
        <v>16</v>
      </c>
      <c r="V11" s="99">
        <v>47</v>
      </c>
      <c r="W11" s="99">
        <v>86</v>
      </c>
      <c r="X11" s="99">
        <v>241</v>
      </c>
      <c r="Y11" s="99">
        <v>280</v>
      </c>
      <c r="Z11" s="99">
        <v>169</v>
      </c>
      <c r="AA11" s="99" t="s">
        <v>574</v>
      </c>
      <c r="AB11" s="99" t="s">
        <v>574</v>
      </c>
      <c r="AC11" s="99" t="s">
        <v>574</v>
      </c>
      <c r="AD11" s="98" t="s">
        <v>333</v>
      </c>
      <c r="AE11" s="100">
        <v>0.1809863588667366</v>
      </c>
      <c r="AF11" s="100">
        <v>0.08</v>
      </c>
      <c r="AG11" s="98">
        <v>491.0807974816369</v>
      </c>
      <c r="AH11" s="98">
        <v>205.66631689401888</v>
      </c>
      <c r="AI11" s="100">
        <v>0.021</v>
      </c>
      <c r="AJ11" s="100">
        <v>0.77903</v>
      </c>
      <c r="AK11" s="100">
        <v>0.444444</v>
      </c>
      <c r="AL11" s="100">
        <v>0.786742</v>
      </c>
      <c r="AM11" s="100">
        <v>0.586219</v>
      </c>
      <c r="AN11" s="100">
        <v>0.603539</v>
      </c>
      <c r="AO11" s="98">
        <v>1565.582371458552</v>
      </c>
      <c r="AP11" s="158">
        <v>0.7839271545</v>
      </c>
      <c r="AQ11" s="100">
        <v>0.1447721179624665</v>
      </c>
      <c r="AR11" s="100">
        <v>0.48214285714285715</v>
      </c>
      <c r="AS11" s="98">
        <v>499.47534102833157</v>
      </c>
      <c r="AT11" s="98">
        <v>159.49632738719833</v>
      </c>
      <c r="AU11" s="98">
        <v>67.1563483735572</v>
      </c>
      <c r="AV11" s="98">
        <v>197.27177334732423</v>
      </c>
      <c r="AW11" s="98">
        <v>360.96537250786986</v>
      </c>
      <c r="AX11" s="98">
        <v>1011.5424973767051</v>
      </c>
      <c r="AY11" s="98">
        <v>1175.236096537251</v>
      </c>
      <c r="AZ11" s="98">
        <v>709.3389296956977</v>
      </c>
      <c r="BA11" s="100" t="s">
        <v>574</v>
      </c>
      <c r="BB11" s="100" t="s">
        <v>574</v>
      </c>
      <c r="BC11" s="100" t="s">
        <v>574</v>
      </c>
      <c r="BD11" s="158">
        <v>0.7063806915</v>
      </c>
      <c r="BE11" s="158">
        <v>0.8676622772</v>
      </c>
      <c r="BF11" s="162">
        <v>3195</v>
      </c>
      <c r="BG11" s="162">
        <v>36</v>
      </c>
      <c r="BH11" s="162">
        <v>6049</v>
      </c>
      <c r="BI11" s="162">
        <v>2946</v>
      </c>
      <c r="BJ11" s="162">
        <v>1526</v>
      </c>
      <c r="BK11" s="97"/>
      <c r="BL11" s="97"/>
      <c r="BM11" s="97"/>
      <c r="BN11" s="97"/>
    </row>
    <row r="12" spans="1:66" ht="12.75">
      <c r="A12" s="79" t="s">
        <v>578</v>
      </c>
      <c r="B12" s="79" t="s">
        <v>301</v>
      </c>
      <c r="C12" s="79" t="s">
        <v>198</v>
      </c>
      <c r="D12" s="99">
        <v>9844</v>
      </c>
      <c r="E12" s="99">
        <v>1568</v>
      </c>
      <c r="F12" s="99" t="s">
        <v>354</v>
      </c>
      <c r="G12" s="99">
        <v>56</v>
      </c>
      <c r="H12" s="99">
        <v>18</v>
      </c>
      <c r="I12" s="99">
        <v>135</v>
      </c>
      <c r="J12" s="99">
        <v>909</v>
      </c>
      <c r="K12" s="99">
        <v>880</v>
      </c>
      <c r="L12" s="99">
        <v>1846</v>
      </c>
      <c r="M12" s="99">
        <v>586</v>
      </c>
      <c r="N12" s="99">
        <v>309</v>
      </c>
      <c r="O12" s="99">
        <v>183</v>
      </c>
      <c r="P12" s="159">
        <v>183</v>
      </c>
      <c r="Q12" s="99">
        <v>15</v>
      </c>
      <c r="R12" s="99">
        <v>35</v>
      </c>
      <c r="S12" s="99">
        <v>36</v>
      </c>
      <c r="T12" s="99">
        <v>24</v>
      </c>
      <c r="U12" s="99" t="s">
        <v>574</v>
      </c>
      <c r="V12" s="99">
        <v>37</v>
      </c>
      <c r="W12" s="99">
        <v>43</v>
      </c>
      <c r="X12" s="99">
        <v>78</v>
      </c>
      <c r="Y12" s="99">
        <v>134</v>
      </c>
      <c r="Z12" s="99">
        <v>48</v>
      </c>
      <c r="AA12" s="99" t="s">
        <v>574</v>
      </c>
      <c r="AB12" s="99" t="s">
        <v>574</v>
      </c>
      <c r="AC12" s="99" t="s">
        <v>574</v>
      </c>
      <c r="AD12" s="98" t="s">
        <v>333</v>
      </c>
      <c r="AE12" s="100">
        <v>0.15928484355952865</v>
      </c>
      <c r="AF12" s="100">
        <v>0.12</v>
      </c>
      <c r="AG12" s="98">
        <v>568.8744412840309</v>
      </c>
      <c r="AH12" s="98">
        <v>182.8524989841528</v>
      </c>
      <c r="AI12" s="100">
        <v>0.013999999999999999</v>
      </c>
      <c r="AJ12" s="100">
        <v>0.800176</v>
      </c>
      <c r="AK12" s="100">
        <v>0.799273</v>
      </c>
      <c r="AL12" s="100">
        <v>0.806466</v>
      </c>
      <c r="AM12" s="100">
        <v>0.557564</v>
      </c>
      <c r="AN12" s="100">
        <v>0.563869</v>
      </c>
      <c r="AO12" s="98">
        <v>1859.0004063388867</v>
      </c>
      <c r="AP12" s="158">
        <v>1.028129349</v>
      </c>
      <c r="AQ12" s="100">
        <v>0.08196721311475409</v>
      </c>
      <c r="AR12" s="100">
        <v>0.42857142857142855</v>
      </c>
      <c r="AS12" s="98">
        <v>365.7049979683056</v>
      </c>
      <c r="AT12" s="98">
        <v>243.80333197887037</v>
      </c>
      <c r="AU12" s="98" t="s">
        <v>574</v>
      </c>
      <c r="AV12" s="98">
        <v>375.8634701340918</v>
      </c>
      <c r="AW12" s="98">
        <v>436.8143031288094</v>
      </c>
      <c r="AX12" s="98">
        <v>792.3608289313287</v>
      </c>
      <c r="AY12" s="98">
        <v>1361.2352702153596</v>
      </c>
      <c r="AZ12" s="98">
        <v>487.60666395774075</v>
      </c>
      <c r="BA12" s="100" t="s">
        <v>574</v>
      </c>
      <c r="BB12" s="100" t="s">
        <v>574</v>
      </c>
      <c r="BC12" s="100" t="s">
        <v>574</v>
      </c>
      <c r="BD12" s="158">
        <v>0.8845596313</v>
      </c>
      <c r="BE12" s="158">
        <v>1.188362274</v>
      </c>
      <c r="BF12" s="162">
        <v>1136</v>
      </c>
      <c r="BG12" s="162">
        <v>1101</v>
      </c>
      <c r="BH12" s="162">
        <v>2289</v>
      </c>
      <c r="BI12" s="162">
        <v>1051</v>
      </c>
      <c r="BJ12" s="162">
        <v>548</v>
      </c>
      <c r="BK12" s="97"/>
      <c r="BL12" s="97"/>
      <c r="BM12" s="97"/>
      <c r="BN12" s="97"/>
    </row>
    <row r="13" spans="1:66" ht="12.75">
      <c r="A13" s="79" t="s">
        <v>540</v>
      </c>
      <c r="B13" s="79" t="s">
        <v>306</v>
      </c>
      <c r="C13" s="79" t="s">
        <v>198</v>
      </c>
      <c r="D13" s="99">
        <v>15557</v>
      </c>
      <c r="E13" s="99">
        <v>2460</v>
      </c>
      <c r="F13" s="99" t="s">
        <v>355</v>
      </c>
      <c r="G13" s="99">
        <v>94</v>
      </c>
      <c r="H13" s="99">
        <v>49</v>
      </c>
      <c r="I13" s="99">
        <v>266</v>
      </c>
      <c r="J13" s="99">
        <v>1368</v>
      </c>
      <c r="K13" s="99">
        <v>1343</v>
      </c>
      <c r="L13" s="99">
        <v>2806</v>
      </c>
      <c r="M13" s="99">
        <v>837</v>
      </c>
      <c r="N13" s="99">
        <v>453</v>
      </c>
      <c r="O13" s="99">
        <v>162</v>
      </c>
      <c r="P13" s="159">
        <v>162</v>
      </c>
      <c r="Q13" s="99">
        <v>27</v>
      </c>
      <c r="R13" s="99">
        <v>94</v>
      </c>
      <c r="S13" s="99">
        <v>39</v>
      </c>
      <c r="T13" s="99">
        <v>26</v>
      </c>
      <c r="U13" s="99">
        <v>8</v>
      </c>
      <c r="V13" s="99">
        <v>23</v>
      </c>
      <c r="W13" s="99">
        <v>68</v>
      </c>
      <c r="X13" s="99">
        <v>176</v>
      </c>
      <c r="Y13" s="99">
        <v>236</v>
      </c>
      <c r="Z13" s="99">
        <v>106</v>
      </c>
      <c r="AA13" s="99" t="s">
        <v>574</v>
      </c>
      <c r="AB13" s="99" t="s">
        <v>574</v>
      </c>
      <c r="AC13" s="99" t="s">
        <v>574</v>
      </c>
      <c r="AD13" s="98" t="s">
        <v>333</v>
      </c>
      <c r="AE13" s="100">
        <v>0.15812817381243172</v>
      </c>
      <c r="AF13" s="100">
        <v>0.16</v>
      </c>
      <c r="AG13" s="98">
        <v>604.2296072507553</v>
      </c>
      <c r="AH13" s="98">
        <v>314.97075271581923</v>
      </c>
      <c r="AI13" s="100">
        <v>0.017</v>
      </c>
      <c r="AJ13" s="100">
        <v>0.774194</v>
      </c>
      <c r="AK13" s="100">
        <v>0.779907</v>
      </c>
      <c r="AL13" s="100">
        <v>0.74727</v>
      </c>
      <c r="AM13" s="100">
        <v>0.503913</v>
      </c>
      <c r="AN13" s="100">
        <v>0.514188</v>
      </c>
      <c r="AO13" s="98">
        <v>1041.3318763257698</v>
      </c>
      <c r="AP13" s="158">
        <v>0.5847438049</v>
      </c>
      <c r="AQ13" s="100">
        <v>0.16666666666666666</v>
      </c>
      <c r="AR13" s="100">
        <v>0.2872340425531915</v>
      </c>
      <c r="AS13" s="98">
        <v>250.69100726361123</v>
      </c>
      <c r="AT13" s="98">
        <v>167.12733817574082</v>
      </c>
      <c r="AU13" s="98">
        <v>51.42379636176641</v>
      </c>
      <c r="AV13" s="98">
        <v>147.8434145400784</v>
      </c>
      <c r="AW13" s="98">
        <v>437.1022690750145</v>
      </c>
      <c r="AX13" s="98">
        <v>1131.323519958861</v>
      </c>
      <c r="AY13" s="98">
        <v>1517.001992672109</v>
      </c>
      <c r="AZ13" s="98">
        <v>681.3653017934049</v>
      </c>
      <c r="BA13" s="101" t="s">
        <v>574</v>
      </c>
      <c r="BB13" s="101" t="s">
        <v>574</v>
      </c>
      <c r="BC13" s="101" t="s">
        <v>574</v>
      </c>
      <c r="BD13" s="158">
        <v>0.4981654739</v>
      </c>
      <c r="BE13" s="158">
        <v>0.6820438384999999</v>
      </c>
      <c r="BF13" s="162">
        <v>1767</v>
      </c>
      <c r="BG13" s="162">
        <v>1722</v>
      </c>
      <c r="BH13" s="162">
        <v>3755</v>
      </c>
      <c r="BI13" s="162">
        <v>1661</v>
      </c>
      <c r="BJ13" s="162">
        <v>881</v>
      </c>
      <c r="BK13" s="97"/>
      <c r="BL13" s="97"/>
      <c r="BM13" s="97"/>
      <c r="BN13" s="97"/>
    </row>
    <row r="14" spans="1:66" ht="12.75">
      <c r="A14" s="79" t="s">
        <v>527</v>
      </c>
      <c r="B14" s="79" t="s">
        <v>291</v>
      </c>
      <c r="C14" s="79" t="s">
        <v>198</v>
      </c>
      <c r="D14" s="99">
        <v>7859</v>
      </c>
      <c r="E14" s="99">
        <v>1241</v>
      </c>
      <c r="F14" s="99" t="s">
        <v>354</v>
      </c>
      <c r="G14" s="99">
        <v>50</v>
      </c>
      <c r="H14" s="99">
        <v>24</v>
      </c>
      <c r="I14" s="99">
        <v>122</v>
      </c>
      <c r="J14" s="99">
        <v>725</v>
      </c>
      <c r="K14" s="99" t="s">
        <v>574</v>
      </c>
      <c r="L14" s="99">
        <v>1625</v>
      </c>
      <c r="M14" s="99">
        <v>476</v>
      </c>
      <c r="N14" s="99">
        <v>253</v>
      </c>
      <c r="O14" s="99">
        <v>132</v>
      </c>
      <c r="P14" s="159">
        <v>132</v>
      </c>
      <c r="Q14" s="99">
        <v>18</v>
      </c>
      <c r="R14" s="99">
        <v>37</v>
      </c>
      <c r="S14" s="99">
        <v>28</v>
      </c>
      <c r="T14" s="99">
        <v>15</v>
      </c>
      <c r="U14" s="99" t="s">
        <v>574</v>
      </c>
      <c r="V14" s="99">
        <v>22</v>
      </c>
      <c r="W14" s="99">
        <v>35</v>
      </c>
      <c r="X14" s="99">
        <v>69</v>
      </c>
      <c r="Y14" s="99">
        <v>111</v>
      </c>
      <c r="Z14" s="99">
        <v>32</v>
      </c>
      <c r="AA14" s="99" t="s">
        <v>574</v>
      </c>
      <c r="AB14" s="99" t="s">
        <v>574</v>
      </c>
      <c r="AC14" s="99" t="s">
        <v>574</v>
      </c>
      <c r="AD14" s="98" t="s">
        <v>333</v>
      </c>
      <c r="AE14" s="100">
        <v>0.157908130805446</v>
      </c>
      <c r="AF14" s="100">
        <v>0.1</v>
      </c>
      <c r="AG14" s="98">
        <v>636.213258684311</v>
      </c>
      <c r="AH14" s="98">
        <v>305.3823641684693</v>
      </c>
      <c r="AI14" s="100">
        <v>0.016</v>
      </c>
      <c r="AJ14" s="100">
        <v>0.732323</v>
      </c>
      <c r="AK14" s="100" t="s">
        <v>574</v>
      </c>
      <c r="AL14" s="100">
        <v>0.800887</v>
      </c>
      <c r="AM14" s="100">
        <v>0.544</v>
      </c>
      <c r="AN14" s="100">
        <v>0.556044</v>
      </c>
      <c r="AO14" s="98">
        <v>1679.603002926581</v>
      </c>
      <c r="AP14" s="158">
        <v>0.8965284728999999</v>
      </c>
      <c r="AQ14" s="100">
        <v>0.13636363636363635</v>
      </c>
      <c r="AR14" s="100">
        <v>0.4864864864864865</v>
      </c>
      <c r="AS14" s="98">
        <v>356.27942486321416</v>
      </c>
      <c r="AT14" s="98">
        <v>190.8639776052933</v>
      </c>
      <c r="AU14" s="98" t="s">
        <v>574</v>
      </c>
      <c r="AV14" s="98">
        <v>279.9338338210968</v>
      </c>
      <c r="AW14" s="98">
        <v>445.3492810790177</v>
      </c>
      <c r="AX14" s="98">
        <v>877.9742969843492</v>
      </c>
      <c r="AY14" s="98">
        <v>1412.3934342791704</v>
      </c>
      <c r="AZ14" s="98">
        <v>407.17648555795904</v>
      </c>
      <c r="BA14" s="100" t="s">
        <v>574</v>
      </c>
      <c r="BB14" s="100" t="s">
        <v>574</v>
      </c>
      <c r="BC14" s="100" t="s">
        <v>574</v>
      </c>
      <c r="BD14" s="158">
        <v>0.7501179504</v>
      </c>
      <c r="BE14" s="158">
        <v>1.0631684110000001</v>
      </c>
      <c r="BF14" s="162">
        <v>990</v>
      </c>
      <c r="BG14" s="162" t="s">
        <v>574</v>
      </c>
      <c r="BH14" s="162">
        <v>2029</v>
      </c>
      <c r="BI14" s="162">
        <v>875</v>
      </c>
      <c r="BJ14" s="162">
        <v>455</v>
      </c>
      <c r="BK14" s="97"/>
      <c r="BL14" s="97"/>
      <c r="BM14" s="97"/>
      <c r="BN14" s="97"/>
    </row>
    <row r="15" spans="1:66" ht="12.75">
      <c r="A15" s="79" t="s">
        <v>531</v>
      </c>
      <c r="B15" s="79" t="s">
        <v>296</v>
      </c>
      <c r="C15" s="79" t="s">
        <v>198</v>
      </c>
      <c r="D15" s="99">
        <v>7660</v>
      </c>
      <c r="E15" s="99">
        <v>1819</v>
      </c>
      <c r="F15" s="99" t="s">
        <v>356</v>
      </c>
      <c r="G15" s="99">
        <v>45</v>
      </c>
      <c r="H15" s="99">
        <v>21</v>
      </c>
      <c r="I15" s="99">
        <v>203</v>
      </c>
      <c r="J15" s="99">
        <v>841</v>
      </c>
      <c r="K15" s="99">
        <v>802</v>
      </c>
      <c r="L15" s="99">
        <v>1449</v>
      </c>
      <c r="M15" s="99">
        <v>658</v>
      </c>
      <c r="N15" s="99">
        <v>335</v>
      </c>
      <c r="O15" s="99">
        <v>139</v>
      </c>
      <c r="P15" s="159">
        <v>139</v>
      </c>
      <c r="Q15" s="99">
        <v>15</v>
      </c>
      <c r="R15" s="99">
        <v>32</v>
      </c>
      <c r="S15" s="99">
        <v>31</v>
      </c>
      <c r="T15" s="99">
        <v>25</v>
      </c>
      <c r="U15" s="99" t="s">
        <v>574</v>
      </c>
      <c r="V15" s="99">
        <v>32</v>
      </c>
      <c r="W15" s="99">
        <v>31</v>
      </c>
      <c r="X15" s="99">
        <v>37</v>
      </c>
      <c r="Y15" s="99">
        <v>63</v>
      </c>
      <c r="Z15" s="99">
        <v>48</v>
      </c>
      <c r="AA15" s="99" t="s">
        <v>574</v>
      </c>
      <c r="AB15" s="99" t="s">
        <v>574</v>
      </c>
      <c r="AC15" s="99" t="s">
        <v>574</v>
      </c>
      <c r="AD15" s="98" t="s">
        <v>333</v>
      </c>
      <c r="AE15" s="100">
        <v>0.23746736292428197</v>
      </c>
      <c r="AF15" s="100">
        <v>0.04</v>
      </c>
      <c r="AG15" s="98">
        <v>587.4673629242819</v>
      </c>
      <c r="AH15" s="98">
        <v>274.15143603133157</v>
      </c>
      <c r="AI15" s="100">
        <v>0.027000000000000003</v>
      </c>
      <c r="AJ15" s="100">
        <v>0.746229</v>
      </c>
      <c r="AK15" s="100">
        <v>0.722523</v>
      </c>
      <c r="AL15" s="100">
        <v>0.753119</v>
      </c>
      <c r="AM15" s="100">
        <v>0.622517</v>
      </c>
      <c r="AN15" s="100">
        <v>0.625</v>
      </c>
      <c r="AO15" s="98">
        <v>1814.621409921671</v>
      </c>
      <c r="AP15" s="158">
        <v>0.7906895447</v>
      </c>
      <c r="AQ15" s="100">
        <v>0.1079136690647482</v>
      </c>
      <c r="AR15" s="100">
        <v>0.46875</v>
      </c>
      <c r="AS15" s="98">
        <v>404.69973890339423</v>
      </c>
      <c r="AT15" s="98">
        <v>326.37075718015666</v>
      </c>
      <c r="AU15" s="98" t="s">
        <v>574</v>
      </c>
      <c r="AV15" s="98">
        <v>417.75456919060053</v>
      </c>
      <c r="AW15" s="98">
        <v>404.69973890339423</v>
      </c>
      <c r="AX15" s="98">
        <v>483.02872062663187</v>
      </c>
      <c r="AY15" s="98">
        <v>822.4543080939948</v>
      </c>
      <c r="AZ15" s="98">
        <v>626.6318537859008</v>
      </c>
      <c r="BA15" s="100" t="s">
        <v>574</v>
      </c>
      <c r="BB15" s="100" t="s">
        <v>574</v>
      </c>
      <c r="BC15" s="100" t="s">
        <v>574</v>
      </c>
      <c r="BD15" s="158">
        <v>0.6647116088999999</v>
      </c>
      <c r="BE15" s="158">
        <v>0.9335982513000001</v>
      </c>
      <c r="BF15" s="162">
        <v>1127</v>
      </c>
      <c r="BG15" s="162">
        <v>1110</v>
      </c>
      <c r="BH15" s="162">
        <v>1924</v>
      </c>
      <c r="BI15" s="162">
        <v>1057</v>
      </c>
      <c r="BJ15" s="162">
        <v>536</v>
      </c>
      <c r="BK15" s="97"/>
      <c r="BL15" s="97"/>
      <c r="BM15" s="97"/>
      <c r="BN15" s="97"/>
    </row>
    <row r="16" spans="1:66" ht="12.75">
      <c r="A16" s="79" t="s">
        <v>545</v>
      </c>
      <c r="B16" s="79" t="s">
        <v>311</v>
      </c>
      <c r="C16" s="79" t="s">
        <v>198</v>
      </c>
      <c r="D16" s="99">
        <v>13779</v>
      </c>
      <c r="E16" s="99">
        <v>1995</v>
      </c>
      <c r="F16" s="99" t="s">
        <v>353</v>
      </c>
      <c r="G16" s="99">
        <v>78</v>
      </c>
      <c r="H16" s="99">
        <v>39</v>
      </c>
      <c r="I16" s="99">
        <v>184</v>
      </c>
      <c r="J16" s="99">
        <v>1183</v>
      </c>
      <c r="K16" s="99">
        <v>1171</v>
      </c>
      <c r="L16" s="99">
        <v>2391</v>
      </c>
      <c r="M16" s="99">
        <v>699</v>
      </c>
      <c r="N16" s="99">
        <v>355</v>
      </c>
      <c r="O16" s="99">
        <v>227</v>
      </c>
      <c r="P16" s="159">
        <v>227</v>
      </c>
      <c r="Q16" s="99">
        <v>23</v>
      </c>
      <c r="R16" s="99">
        <v>71</v>
      </c>
      <c r="S16" s="99">
        <v>62</v>
      </c>
      <c r="T16" s="99">
        <v>42</v>
      </c>
      <c r="U16" s="99">
        <v>12</v>
      </c>
      <c r="V16" s="99">
        <v>19</v>
      </c>
      <c r="W16" s="99">
        <v>47</v>
      </c>
      <c r="X16" s="99">
        <v>178</v>
      </c>
      <c r="Y16" s="99">
        <v>223</v>
      </c>
      <c r="Z16" s="99">
        <v>92</v>
      </c>
      <c r="AA16" s="99" t="s">
        <v>574</v>
      </c>
      <c r="AB16" s="99" t="s">
        <v>574</v>
      </c>
      <c r="AC16" s="99" t="s">
        <v>574</v>
      </c>
      <c r="AD16" s="98" t="s">
        <v>333</v>
      </c>
      <c r="AE16" s="100">
        <v>0.14478554321794035</v>
      </c>
      <c r="AF16" s="100">
        <v>0.17</v>
      </c>
      <c r="AG16" s="98">
        <v>566.0788155889397</v>
      </c>
      <c r="AH16" s="98">
        <v>283.03940779446987</v>
      </c>
      <c r="AI16" s="100">
        <v>0.013000000000000001</v>
      </c>
      <c r="AJ16" s="100">
        <v>0.751111</v>
      </c>
      <c r="AK16" s="100">
        <v>0.763862</v>
      </c>
      <c r="AL16" s="100">
        <v>0.724326</v>
      </c>
      <c r="AM16" s="100">
        <v>0.511339</v>
      </c>
      <c r="AN16" s="100">
        <v>0.515988</v>
      </c>
      <c r="AO16" s="98">
        <v>1647.4345017780681</v>
      </c>
      <c r="AP16" s="158">
        <v>0.9430573273</v>
      </c>
      <c r="AQ16" s="100">
        <v>0.1013215859030837</v>
      </c>
      <c r="AR16" s="100">
        <v>0.323943661971831</v>
      </c>
      <c r="AS16" s="98">
        <v>449.9600841860803</v>
      </c>
      <c r="AT16" s="98">
        <v>304.811669932506</v>
      </c>
      <c r="AU16" s="98">
        <v>87.08904855214456</v>
      </c>
      <c r="AV16" s="98">
        <v>137.89099354089558</v>
      </c>
      <c r="AW16" s="98">
        <v>341.09877349589954</v>
      </c>
      <c r="AX16" s="98">
        <v>1291.820886856811</v>
      </c>
      <c r="AY16" s="98">
        <v>1618.4048189273533</v>
      </c>
      <c r="AZ16" s="98">
        <v>667.6827055664417</v>
      </c>
      <c r="BA16" s="101" t="s">
        <v>574</v>
      </c>
      <c r="BB16" s="101" t="s">
        <v>574</v>
      </c>
      <c r="BC16" s="101" t="s">
        <v>574</v>
      </c>
      <c r="BD16" s="158">
        <v>0.8243584441999999</v>
      </c>
      <c r="BE16" s="158">
        <v>1.074047852</v>
      </c>
      <c r="BF16" s="162">
        <v>1575</v>
      </c>
      <c r="BG16" s="162">
        <v>1533</v>
      </c>
      <c r="BH16" s="162">
        <v>3301</v>
      </c>
      <c r="BI16" s="162">
        <v>1367</v>
      </c>
      <c r="BJ16" s="162">
        <v>688</v>
      </c>
      <c r="BK16" s="97"/>
      <c r="BL16" s="97"/>
      <c r="BM16" s="97"/>
      <c r="BN16" s="97"/>
    </row>
    <row r="17" spans="1:66" ht="12.75">
      <c r="A17" s="79" t="s">
        <v>547</v>
      </c>
      <c r="B17" s="79" t="s">
        <v>313</v>
      </c>
      <c r="C17" s="79" t="s">
        <v>198</v>
      </c>
      <c r="D17" s="99">
        <v>9763</v>
      </c>
      <c r="E17" s="99">
        <v>1755</v>
      </c>
      <c r="F17" s="99" t="s">
        <v>354</v>
      </c>
      <c r="G17" s="99">
        <v>56</v>
      </c>
      <c r="H17" s="99">
        <v>41</v>
      </c>
      <c r="I17" s="99">
        <v>206</v>
      </c>
      <c r="J17" s="99">
        <v>866</v>
      </c>
      <c r="K17" s="99">
        <v>21</v>
      </c>
      <c r="L17" s="99">
        <v>1796</v>
      </c>
      <c r="M17" s="99">
        <v>563</v>
      </c>
      <c r="N17" s="99">
        <v>314</v>
      </c>
      <c r="O17" s="99">
        <v>178</v>
      </c>
      <c r="P17" s="159">
        <v>178</v>
      </c>
      <c r="Q17" s="99">
        <v>18</v>
      </c>
      <c r="R17" s="99">
        <v>46</v>
      </c>
      <c r="S17" s="99">
        <v>37</v>
      </c>
      <c r="T17" s="99">
        <v>26</v>
      </c>
      <c r="U17" s="99">
        <v>12</v>
      </c>
      <c r="V17" s="99">
        <v>25</v>
      </c>
      <c r="W17" s="99">
        <v>61</v>
      </c>
      <c r="X17" s="99">
        <v>62</v>
      </c>
      <c r="Y17" s="99">
        <v>110</v>
      </c>
      <c r="Z17" s="99">
        <v>82</v>
      </c>
      <c r="AA17" s="99" t="s">
        <v>574</v>
      </c>
      <c r="AB17" s="99" t="s">
        <v>574</v>
      </c>
      <c r="AC17" s="99" t="s">
        <v>574</v>
      </c>
      <c r="AD17" s="98" t="s">
        <v>333</v>
      </c>
      <c r="AE17" s="100">
        <v>0.17976031957390146</v>
      </c>
      <c r="AF17" s="100">
        <v>0.12</v>
      </c>
      <c r="AG17" s="98">
        <v>573.5941821161529</v>
      </c>
      <c r="AH17" s="98">
        <v>419.95288333504044</v>
      </c>
      <c r="AI17" s="100">
        <v>0.021</v>
      </c>
      <c r="AJ17" s="100">
        <v>0.685127</v>
      </c>
      <c r="AK17" s="100">
        <v>0.5</v>
      </c>
      <c r="AL17" s="100">
        <v>0.748022</v>
      </c>
      <c r="AM17" s="100">
        <v>0.51275</v>
      </c>
      <c r="AN17" s="100">
        <v>0.537671</v>
      </c>
      <c r="AO17" s="98">
        <v>1823.2100788692</v>
      </c>
      <c r="AP17" s="158">
        <v>0.9287146758999999</v>
      </c>
      <c r="AQ17" s="100">
        <v>0.10112359550561797</v>
      </c>
      <c r="AR17" s="100">
        <v>0.391304347826087</v>
      </c>
      <c r="AS17" s="98">
        <v>378.98187032674383</v>
      </c>
      <c r="AT17" s="98">
        <v>266.31158455392807</v>
      </c>
      <c r="AU17" s="98">
        <v>122.91303902488988</v>
      </c>
      <c r="AV17" s="98">
        <v>256.06883130185395</v>
      </c>
      <c r="AW17" s="98">
        <v>624.8079483765237</v>
      </c>
      <c r="AX17" s="98">
        <v>635.0507016285977</v>
      </c>
      <c r="AY17" s="98">
        <v>1126.7028577281574</v>
      </c>
      <c r="AZ17" s="98">
        <v>839.9057666700809</v>
      </c>
      <c r="BA17" s="100" t="s">
        <v>574</v>
      </c>
      <c r="BB17" s="100" t="s">
        <v>574</v>
      </c>
      <c r="BC17" s="100" t="s">
        <v>574</v>
      </c>
      <c r="BD17" s="158">
        <v>0.7972882843</v>
      </c>
      <c r="BE17" s="158">
        <v>1.075620956</v>
      </c>
      <c r="BF17" s="162">
        <v>1264</v>
      </c>
      <c r="BG17" s="162">
        <v>42</v>
      </c>
      <c r="BH17" s="162">
        <v>2401</v>
      </c>
      <c r="BI17" s="162">
        <v>1098</v>
      </c>
      <c r="BJ17" s="162">
        <v>584</v>
      </c>
      <c r="BK17" s="97"/>
      <c r="BL17" s="97"/>
      <c r="BM17" s="97"/>
      <c r="BN17" s="97"/>
    </row>
    <row r="18" spans="1:66" ht="12.75">
      <c r="A18" s="79" t="s">
        <v>535</v>
      </c>
      <c r="B18" s="79" t="s">
        <v>300</v>
      </c>
      <c r="C18" s="79" t="s">
        <v>198</v>
      </c>
      <c r="D18" s="99">
        <v>7209</v>
      </c>
      <c r="E18" s="99">
        <v>1433</v>
      </c>
      <c r="F18" s="99" t="s">
        <v>356</v>
      </c>
      <c r="G18" s="99">
        <v>33</v>
      </c>
      <c r="H18" s="99">
        <v>12</v>
      </c>
      <c r="I18" s="99">
        <v>139</v>
      </c>
      <c r="J18" s="99">
        <v>893</v>
      </c>
      <c r="K18" s="99">
        <v>144</v>
      </c>
      <c r="L18" s="99">
        <v>1418</v>
      </c>
      <c r="M18" s="99">
        <v>630</v>
      </c>
      <c r="N18" s="99">
        <v>336</v>
      </c>
      <c r="O18" s="99">
        <v>119</v>
      </c>
      <c r="P18" s="159">
        <v>119</v>
      </c>
      <c r="Q18" s="99">
        <v>15</v>
      </c>
      <c r="R18" s="99">
        <v>40</v>
      </c>
      <c r="S18" s="99">
        <v>22</v>
      </c>
      <c r="T18" s="99">
        <v>10</v>
      </c>
      <c r="U18" s="99" t="s">
        <v>574</v>
      </c>
      <c r="V18" s="99">
        <v>26</v>
      </c>
      <c r="W18" s="99">
        <v>40</v>
      </c>
      <c r="X18" s="99">
        <v>79</v>
      </c>
      <c r="Y18" s="99">
        <v>106</v>
      </c>
      <c r="Z18" s="99">
        <v>41</v>
      </c>
      <c r="AA18" s="99" t="s">
        <v>574</v>
      </c>
      <c r="AB18" s="99" t="s">
        <v>574</v>
      </c>
      <c r="AC18" s="99" t="s">
        <v>574</v>
      </c>
      <c r="AD18" s="98" t="s">
        <v>333</v>
      </c>
      <c r="AE18" s="100">
        <v>0.1987793036482175</v>
      </c>
      <c r="AF18" s="100">
        <v>0.07</v>
      </c>
      <c r="AG18" s="98">
        <v>457.7611319184353</v>
      </c>
      <c r="AH18" s="98">
        <v>166.45859342488555</v>
      </c>
      <c r="AI18" s="100">
        <v>0.019</v>
      </c>
      <c r="AJ18" s="100">
        <v>0.840866</v>
      </c>
      <c r="AK18" s="100">
        <v>0.770053</v>
      </c>
      <c r="AL18" s="100">
        <v>0.81635</v>
      </c>
      <c r="AM18" s="100">
        <v>0.593779</v>
      </c>
      <c r="AN18" s="100">
        <v>0.57732</v>
      </c>
      <c r="AO18" s="98">
        <v>1650.7143847967818</v>
      </c>
      <c r="AP18" s="158">
        <v>0.7893006896999999</v>
      </c>
      <c r="AQ18" s="100">
        <v>0.12605042016806722</v>
      </c>
      <c r="AR18" s="100">
        <v>0.375</v>
      </c>
      <c r="AS18" s="98">
        <v>305.1740879456235</v>
      </c>
      <c r="AT18" s="98">
        <v>138.71549452073796</v>
      </c>
      <c r="AU18" s="98" t="s">
        <v>574</v>
      </c>
      <c r="AV18" s="98">
        <v>360.6602857539187</v>
      </c>
      <c r="AW18" s="98">
        <v>554.8619780829519</v>
      </c>
      <c r="AX18" s="98">
        <v>1095.8524067138299</v>
      </c>
      <c r="AY18" s="98">
        <v>1470.3842419198224</v>
      </c>
      <c r="AZ18" s="98">
        <v>568.7335275350257</v>
      </c>
      <c r="BA18" s="100" t="s">
        <v>574</v>
      </c>
      <c r="BB18" s="100" t="s">
        <v>574</v>
      </c>
      <c r="BC18" s="100" t="s">
        <v>574</v>
      </c>
      <c r="BD18" s="158">
        <v>0.6538702393</v>
      </c>
      <c r="BE18" s="158">
        <v>0.9445159912</v>
      </c>
      <c r="BF18" s="162">
        <v>1062</v>
      </c>
      <c r="BG18" s="162">
        <v>187</v>
      </c>
      <c r="BH18" s="162">
        <v>1737</v>
      </c>
      <c r="BI18" s="162">
        <v>1061</v>
      </c>
      <c r="BJ18" s="162">
        <v>582</v>
      </c>
      <c r="BK18" s="97"/>
      <c r="BL18" s="97"/>
      <c r="BM18" s="97"/>
      <c r="BN18" s="97"/>
    </row>
    <row r="19" spans="1:66" ht="12.75">
      <c r="A19" s="79" t="s">
        <v>533</v>
      </c>
      <c r="B19" s="79" t="s">
        <v>298</v>
      </c>
      <c r="C19" s="79" t="s">
        <v>198</v>
      </c>
      <c r="D19" s="99">
        <v>5064</v>
      </c>
      <c r="E19" s="99">
        <v>621</v>
      </c>
      <c r="F19" s="99" t="s">
        <v>353</v>
      </c>
      <c r="G19" s="99">
        <v>19</v>
      </c>
      <c r="H19" s="99">
        <v>7</v>
      </c>
      <c r="I19" s="99">
        <v>69</v>
      </c>
      <c r="J19" s="99">
        <v>358</v>
      </c>
      <c r="K19" s="99">
        <v>9</v>
      </c>
      <c r="L19" s="99">
        <v>945</v>
      </c>
      <c r="M19" s="99">
        <v>232</v>
      </c>
      <c r="N19" s="99">
        <v>136</v>
      </c>
      <c r="O19" s="99">
        <v>41</v>
      </c>
      <c r="P19" s="159">
        <v>41</v>
      </c>
      <c r="Q19" s="99">
        <v>7</v>
      </c>
      <c r="R19" s="99">
        <v>20</v>
      </c>
      <c r="S19" s="99">
        <v>17</v>
      </c>
      <c r="T19" s="99">
        <v>8</v>
      </c>
      <c r="U19" s="99" t="s">
        <v>574</v>
      </c>
      <c r="V19" s="99" t="s">
        <v>574</v>
      </c>
      <c r="W19" s="99">
        <v>17</v>
      </c>
      <c r="X19" s="99">
        <v>53</v>
      </c>
      <c r="Y19" s="99">
        <v>66</v>
      </c>
      <c r="Z19" s="99">
        <v>18</v>
      </c>
      <c r="AA19" s="99" t="s">
        <v>574</v>
      </c>
      <c r="AB19" s="99" t="s">
        <v>574</v>
      </c>
      <c r="AC19" s="99" t="s">
        <v>574</v>
      </c>
      <c r="AD19" s="98" t="s">
        <v>333</v>
      </c>
      <c r="AE19" s="100">
        <v>0.1226303317535545</v>
      </c>
      <c r="AF19" s="100">
        <v>0.18</v>
      </c>
      <c r="AG19" s="98">
        <v>375.19747235387047</v>
      </c>
      <c r="AH19" s="98">
        <v>138.2306477093207</v>
      </c>
      <c r="AI19" s="100">
        <v>0.013999999999999999</v>
      </c>
      <c r="AJ19" s="100">
        <v>0.635879</v>
      </c>
      <c r="AK19" s="100">
        <v>0.5</v>
      </c>
      <c r="AL19" s="100">
        <v>0.768918</v>
      </c>
      <c r="AM19" s="100">
        <v>0.459406</v>
      </c>
      <c r="AN19" s="100">
        <v>0.503704</v>
      </c>
      <c r="AO19" s="98">
        <v>809.6366508688784</v>
      </c>
      <c r="AP19" s="158">
        <v>0.5032421112000001</v>
      </c>
      <c r="AQ19" s="100">
        <v>0.17073170731707318</v>
      </c>
      <c r="AR19" s="100">
        <v>0.35</v>
      </c>
      <c r="AS19" s="98">
        <v>335.70300157977886</v>
      </c>
      <c r="AT19" s="98">
        <v>157.9778830963665</v>
      </c>
      <c r="AU19" s="98" t="s">
        <v>574</v>
      </c>
      <c r="AV19" s="98" t="s">
        <v>574</v>
      </c>
      <c r="AW19" s="98">
        <v>335.70300157977886</v>
      </c>
      <c r="AX19" s="98">
        <v>1046.603475513428</v>
      </c>
      <c r="AY19" s="98">
        <v>1303.3175355450237</v>
      </c>
      <c r="AZ19" s="98">
        <v>355.45023696682466</v>
      </c>
      <c r="BA19" s="101" t="s">
        <v>574</v>
      </c>
      <c r="BB19" s="101" t="s">
        <v>574</v>
      </c>
      <c r="BC19" s="101" t="s">
        <v>574</v>
      </c>
      <c r="BD19" s="158">
        <v>0.36113521579999996</v>
      </c>
      <c r="BE19" s="158">
        <v>0.6827047729</v>
      </c>
      <c r="BF19" s="162">
        <v>563</v>
      </c>
      <c r="BG19" s="162">
        <v>18</v>
      </c>
      <c r="BH19" s="162">
        <v>1229</v>
      </c>
      <c r="BI19" s="162">
        <v>505</v>
      </c>
      <c r="BJ19" s="162">
        <v>270</v>
      </c>
      <c r="BK19" s="97"/>
      <c r="BL19" s="97"/>
      <c r="BM19" s="97"/>
      <c r="BN19" s="97"/>
    </row>
    <row r="20" spans="1:66" ht="12.75">
      <c r="A20" s="79" t="s">
        <v>521</v>
      </c>
      <c r="B20" s="79" t="s">
        <v>285</v>
      </c>
      <c r="C20" s="79" t="s">
        <v>198</v>
      </c>
      <c r="D20" s="99">
        <v>7164</v>
      </c>
      <c r="E20" s="99">
        <v>1241</v>
      </c>
      <c r="F20" s="99" t="s">
        <v>354</v>
      </c>
      <c r="G20" s="99">
        <v>28</v>
      </c>
      <c r="H20" s="99">
        <v>14</v>
      </c>
      <c r="I20" s="99">
        <v>70</v>
      </c>
      <c r="J20" s="99">
        <v>621</v>
      </c>
      <c r="K20" s="99">
        <v>13</v>
      </c>
      <c r="L20" s="99">
        <v>1396</v>
      </c>
      <c r="M20" s="99">
        <v>476</v>
      </c>
      <c r="N20" s="99">
        <v>250</v>
      </c>
      <c r="O20" s="99">
        <v>83</v>
      </c>
      <c r="P20" s="159">
        <v>83</v>
      </c>
      <c r="Q20" s="99">
        <v>11</v>
      </c>
      <c r="R20" s="99">
        <v>23</v>
      </c>
      <c r="S20" s="99">
        <v>21</v>
      </c>
      <c r="T20" s="99">
        <v>15</v>
      </c>
      <c r="U20" s="99" t="s">
        <v>574</v>
      </c>
      <c r="V20" s="99">
        <v>15</v>
      </c>
      <c r="W20" s="99">
        <v>32</v>
      </c>
      <c r="X20" s="99">
        <v>54</v>
      </c>
      <c r="Y20" s="99">
        <v>63</v>
      </c>
      <c r="Z20" s="99">
        <v>38</v>
      </c>
      <c r="AA20" s="99" t="s">
        <v>574</v>
      </c>
      <c r="AB20" s="99" t="s">
        <v>574</v>
      </c>
      <c r="AC20" s="99" t="s">
        <v>574</v>
      </c>
      <c r="AD20" s="98" t="s">
        <v>333</v>
      </c>
      <c r="AE20" s="100">
        <v>0.17322724734785036</v>
      </c>
      <c r="AF20" s="100">
        <v>0.11</v>
      </c>
      <c r="AG20" s="98">
        <v>390.8431044109436</v>
      </c>
      <c r="AH20" s="98">
        <v>195.4215522054718</v>
      </c>
      <c r="AI20" s="100">
        <v>0.01</v>
      </c>
      <c r="AJ20" s="100">
        <v>0.677208</v>
      </c>
      <c r="AK20" s="100">
        <v>0.684211</v>
      </c>
      <c r="AL20" s="100">
        <v>0.758284</v>
      </c>
      <c r="AM20" s="100">
        <v>0.56465</v>
      </c>
      <c r="AN20" s="100">
        <v>0.578704</v>
      </c>
      <c r="AO20" s="98">
        <v>1158.57063093244</v>
      </c>
      <c r="AP20" s="158">
        <v>0.5948768997</v>
      </c>
      <c r="AQ20" s="100">
        <v>0.13253012048192772</v>
      </c>
      <c r="AR20" s="100">
        <v>0.4782608695652174</v>
      </c>
      <c r="AS20" s="98">
        <v>293.1323283082077</v>
      </c>
      <c r="AT20" s="98">
        <v>209.38023450586266</v>
      </c>
      <c r="AU20" s="98" t="s">
        <v>574</v>
      </c>
      <c r="AV20" s="98">
        <v>209.38023450586266</v>
      </c>
      <c r="AW20" s="98">
        <v>446.67783361250696</v>
      </c>
      <c r="AX20" s="98">
        <v>753.7688442211055</v>
      </c>
      <c r="AY20" s="98">
        <v>879.3969849246231</v>
      </c>
      <c r="AZ20" s="98">
        <v>530.429927414852</v>
      </c>
      <c r="BA20" s="100" t="s">
        <v>574</v>
      </c>
      <c r="BB20" s="100" t="s">
        <v>574</v>
      </c>
      <c r="BC20" s="100" t="s">
        <v>574</v>
      </c>
      <c r="BD20" s="158">
        <v>0.4738161469</v>
      </c>
      <c r="BE20" s="158">
        <v>0.7374394226</v>
      </c>
      <c r="BF20" s="162">
        <v>917</v>
      </c>
      <c r="BG20" s="162">
        <v>19</v>
      </c>
      <c r="BH20" s="162">
        <v>1841</v>
      </c>
      <c r="BI20" s="162">
        <v>843</v>
      </c>
      <c r="BJ20" s="162">
        <v>432</v>
      </c>
      <c r="BK20" s="97"/>
      <c r="BL20" s="97"/>
      <c r="BM20" s="97"/>
      <c r="BN20" s="97"/>
    </row>
    <row r="21" spans="1:66" ht="12.75">
      <c r="A21" s="79" t="s">
        <v>518</v>
      </c>
      <c r="B21" s="79" t="s">
        <v>282</v>
      </c>
      <c r="C21" s="79" t="s">
        <v>198</v>
      </c>
      <c r="D21" s="99">
        <v>12306</v>
      </c>
      <c r="E21" s="99">
        <v>2562</v>
      </c>
      <c r="F21" s="99" t="s">
        <v>356</v>
      </c>
      <c r="G21" s="99">
        <v>56</v>
      </c>
      <c r="H21" s="99">
        <v>18</v>
      </c>
      <c r="I21" s="99">
        <v>269</v>
      </c>
      <c r="J21" s="99">
        <v>1362</v>
      </c>
      <c r="K21" s="99">
        <v>50</v>
      </c>
      <c r="L21" s="99">
        <v>2457</v>
      </c>
      <c r="M21" s="99">
        <v>961</v>
      </c>
      <c r="N21" s="99">
        <v>518</v>
      </c>
      <c r="O21" s="99">
        <v>200</v>
      </c>
      <c r="P21" s="159">
        <v>200</v>
      </c>
      <c r="Q21" s="99">
        <v>23</v>
      </c>
      <c r="R21" s="99">
        <v>57</v>
      </c>
      <c r="S21" s="99">
        <v>53</v>
      </c>
      <c r="T21" s="99">
        <v>27</v>
      </c>
      <c r="U21" s="99" t="s">
        <v>574</v>
      </c>
      <c r="V21" s="99">
        <v>37</v>
      </c>
      <c r="W21" s="99">
        <v>50</v>
      </c>
      <c r="X21" s="99">
        <v>81</v>
      </c>
      <c r="Y21" s="99">
        <v>131</v>
      </c>
      <c r="Z21" s="99">
        <v>64</v>
      </c>
      <c r="AA21" s="99" t="s">
        <v>574</v>
      </c>
      <c r="AB21" s="99" t="s">
        <v>574</v>
      </c>
      <c r="AC21" s="99" t="s">
        <v>574</v>
      </c>
      <c r="AD21" s="98" t="s">
        <v>333</v>
      </c>
      <c r="AE21" s="100">
        <v>0.20819112627986347</v>
      </c>
      <c r="AF21" s="100">
        <v>0.05</v>
      </c>
      <c r="AG21" s="98">
        <v>455.06257110352675</v>
      </c>
      <c r="AH21" s="98">
        <v>146.27011214041931</v>
      </c>
      <c r="AI21" s="100">
        <v>0.022000000000000002</v>
      </c>
      <c r="AJ21" s="100">
        <v>0.795561</v>
      </c>
      <c r="AK21" s="100">
        <v>0.617284</v>
      </c>
      <c r="AL21" s="100">
        <v>0.795403</v>
      </c>
      <c r="AM21" s="100">
        <v>0.604403</v>
      </c>
      <c r="AN21" s="100">
        <v>0.615933</v>
      </c>
      <c r="AO21" s="98">
        <v>1625.223468226881</v>
      </c>
      <c r="AP21" s="158">
        <v>0.7605593872</v>
      </c>
      <c r="AQ21" s="100">
        <v>0.115</v>
      </c>
      <c r="AR21" s="100">
        <v>0.40350877192982454</v>
      </c>
      <c r="AS21" s="98">
        <v>430.6842190801235</v>
      </c>
      <c r="AT21" s="98">
        <v>219.40516821062897</v>
      </c>
      <c r="AU21" s="98" t="s">
        <v>574</v>
      </c>
      <c r="AV21" s="98">
        <v>300.666341621973</v>
      </c>
      <c r="AW21" s="98">
        <v>406.3058670567203</v>
      </c>
      <c r="AX21" s="98">
        <v>658.2155046318869</v>
      </c>
      <c r="AY21" s="98">
        <v>1064.5213716886071</v>
      </c>
      <c r="AZ21" s="98">
        <v>520.071509832602</v>
      </c>
      <c r="BA21" s="100" t="s">
        <v>574</v>
      </c>
      <c r="BB21" s="100" t="s">
        <v>574</v>
      </c>
      <c r="BC21" s="100" t="s">
        <v>574</v>
      </c>
      <c r="BD21" s="158">
        <v>0.6587998962</v>
      </c>
      <c r="BE21" s="158">
        <v>0.8735860443</v>
      </c>
      <c r="BF21" s="162">
        <v>1712</v>
      </c>
      <c r="BG21" s="162">
        <v>81</v>
      </c>
      <c r="BH21" s="162">
        <v>3089</v>
      </c>
      <c r="BI21" s="162">
        <v>1590</v>
      </c>
      <c r="BJ21" s="162">
        <v>841</v>
      </c>
      <c r="BK21" s="97"/>
      <c r="BL21" s="97"/>
      <c r="BM21" s="97"/>
      <c r="BN21" s="97"/>
    </row>
    <row r="22" spans="1:66" ht="12.75">
      <c r="A22" s="79" t="s">
        <v>550</v>
      </c>
      <c r="B22" s="79" t="s">
        <v>316</v>
      </c>
      <c r="C22" s="79" t="s">
        <v>198</v>
      </c>
      <c r="D22" s="99">
        <v>4454</v>
      </c>
      <c r="E22" s="99">
        <v>543</v>
      </c>
      <c r="F22" s="99" t="s">
        <v>353</v>
      </c>
      <c r="G22" s="99">
        <v>18</v>
      </c>
      <c r="H22" s="99">
        <v>8</v>
      </c>
      <c r="I22" s="99">
        <v>65</v>
      </c>
      <c r="J22" s="99">
        <v>359</v>
      </c>
      <c r="K22" s="99" t="s">
        <v>574</v>
      </c>
      <c r="L22" s="99">
        <v>783</v>
      </c>
      <c r="M22" s="99">
        <v>215</v>
      </c>
      <c r="N22" s="99">
        <v>94</v>
      </c>
      <c r="O22" s="99">
        <v>19</v>
      </c>
      <c r="P22" s="159">
        <v>19</v>
      </c>
      <c r="Q22" s="99" t="s">
        <v>574</v>
      </c>
      <c r="R22" s="99">
        <v>11</v>
      </c>
      <c r="S22" s="99">
        <v>8</v>
      </c>
      <c r="T22" s="99" t="s">
        <v>574</v>
      </c>
      <c r="U22" s="99" t="s">
        <v>574</v>
      </c>
      <c r="V22" s="99" t="s">
        <v>574</v>
      </c>
      <c r="W22" s="99">
        <v>17</v>
      </c>
      <c r="X22" s="99">
        <v>41</v>
      </c>
      <c r="Y22" s="99">
        <v>57</v>
      </c>
      <c r="Z22" s="99">
        <v>26</v>
      </c>
      <c r="AA22" s="99" t="s">
        <v>574</v>
      </c>
      <c r="AB22" s="99" t="s">
        <v>574</v>
      </c>
      <c r="AC22" s="99" t="s">
        <v>574</v>
      </c>
      <c r="AD22" s="98" t="s">
        <v>333</v>
      </c>
      <c r="AE22" s="100">
        <v>0.12191288729232151</v>
      </c>
      <c r="AF22" s="100">
        <v>0.21</v>
      </c>
      <c r="AG22" s="98">
        <v>404.1311180960934</v>
      </c>
      <c r="AH22" s="98">
        <v>179.6138302649304</v>
      </c>
      <c r="AI22" s="100">
        <v>0.015</v>
      </c>
      <c r="AJ22" s="100">
        <v>0.699805</v>
      </c>
      <c r="AK22" s="100" t="s">
        <v>574</v>
      </c>
      <c r="AL22" s="100">
        <v>0.765396</v>
      </c>
      <c r="AM22" s="100">
        <v>0.487528</v>
      </c>
      <c r="AN22" s="100">
        <v>0.522222</v>
      </c>
      <c r="AO22" s="98">
        <v>426.5828468792097</v>
      </c>
      <c r="AP22" s="158">
        <v>0.2666871834</v>
      </c>
      <c r="AQ22" s="100" t="s">
        <v>574</v>
      </c>
      <c r="AR22" s="100" t="s">
        <v>574</v>
      </c>
      <c r="AS22" s="98">
        <v>179.6138302649304</v>
      </c>
      <c r="AT22" s="98" t="s">
        <v>574</v>
      </c>
      <c r="AU22" s="98" t="s">
        <v>574</v>
      </c>
      <c r="AV22" s="98" t="s">
        <v>574</v>
      </c>
      <c r="AW22" s="98">
        <v>381.6793893129771</v>
      </c>
      <c r="AX22" s="98">
        <v>920.5208801077683</v>
      </c>
      <c r="AY22" s="98">
        <v>1279.748540637629</v>
      </c>
      <c r="AZ22" s="98">
        <v>583.7449483610238</v>
      </c>
      <c r="BA22" s="100" t="s">
        <v>574</v>
      </c>
      <c r="BB22" s="100" t="s">
        <v>574</v>
      </c>
      <c r="BC22" s="100" t="s">
        <v>574</v>
      </c>
      <c r="BD22" s="158">
        <v>0.1605631065</v>
      </c>
      <c r="BE22" s="158">
        <v>0.4164650726</v>
      </c>
      <c r="BF22" s="162">
        <v>513</v>
      </c>
      <c r="BG22" s="162" t="s">
        <v>574</v>
      </c>
      <c r="BH22" s="162">
        <v>1023</v>
      </c>
      <c r="BI22" s="162">
        <v>441</v>
      </c>
      <c r="BJ22" s="162">
        <v>180</v>
      </c>
      <c r="BK22" s="97"/>
      <c r="BL22" s="97"/>
      <c r="BM22" s="97"/>
      <c r="BN22" s="97"/>
    </row>
    <row r="23" spans="1:66" ht="12.75">
      <c r="A23" s="79" t="s">
        <v>539</v>
      </c>
      <c r="B23" s="79" t="s">
        <v>305</v>
      </c>
      <c r="C23" s="79" t="s">
        <v>198</v>
      </c>
      <c r="D23" s="99">
        <v>9680</v>
      </c>
      <c r="E23" s="99">
        <v>1900</v>
      </c>
      <c r="F23" s="99" t="s">
        <v>354</v>
      </c>
      <c r="G23" s="99">
        <v>31</v>
      </c>
      <c r="H23" s="99">
        <v>24</v>
      </c>
      <c r="I23" s="99">
        <v>147</v>
      </c>
      <c r="J23" s="99">
        <v>1043</v>
      </c>
      <c r="K23" s="99">
        <v>11</v>
      </c>
      <c r="L23" s="99">
        <v>1881</v>
      </c>
      <c r="M23" s="99">
        <v>861</v>
      </c>
      <c r="N23" s="99">
        <v>482</v>
      </c>
      <c r="O23" s="99">
        <v>112</v>
      </c>
      <c r="P23" s="159">
        <v>112</v>
      </c>
      <c r="Q23" s="99">
        <v>15</v>
      </c>
      <c r="R23" s="99">
        <v>33</v>
      </c>
      <c r="S23" s="99">
        <v>43</v>
      </c>
      <c r="T23" s="99">
        <v>15</v>
      </c>
      <c r="U23" s="99">
        <v>9</v>
      </c>
      <c r="V23" s="99">
        <v>16</v>
      </c>
      <c r="W23" s="99">
        <v>42</v>
      </c>
      <c r="X23" s="99">
        <v>71</v>
      </c>
      <c r="Y23" s="99">
        <v>100</v>
      </c>
      <c r="Z23" s="99">
        <v>38</v>
      </c>
      <c r="AA23" s="99" t="s">
        <v>574</v>
      </c>
      <c r="AB23" s="99" t="s">
        <v>574</v>
      </c>
      <c r="AC23" s="99" t="s">
        <v>574</v>
      </c>
      <c r="AD23" s="98" t="s">
        <v>333</v>
      </c>
      <c r="AE23" s="100">
        <v>0.1962809917355372</v>
      </c>
      <c r="AF23" s="100">
        <v>0.11</v>
      </c>
      <c r="AG23" s="98">
        <v>320.24793388429754</v>
      </c>
      <c r="AH23" s="98">
        <v>247.93388429752065</v>
      </c>
      <c r="AI23" s="100">
        <v>0.015</v>
      </c>
      <c r="AJ23" s="100">
        <v>0.736582</v>
      </c>
      <c r="AK23" s="100">
        <v>0.578947</v>
      </c>
      <c r="AL23" s="100">
        <v>0.780498</v>
      </c>
      <c r="AM23" s="100">
        <v>0.6</v>
      </c>
      <c r="AN23" s="100">
        <v>0.636724</v>
      </c>
      <c r="AO23" s="98">
        <v>1157.0247933884298</v>
      </c>
      <c r="AP23" s="158">
        <v>0.5607526398</v>
      </c>
      <c r="AQ23" s="100">
        <v>0.13392857142857142</v>
      </c>
      <c r="AR23" s="100">
        <v>0.45454545454545453</v>
      </c>
      <c r="AS23" s="98">
        <v>444.21487603305786</v>
      </c>
      <c r="AT23" s="98">
        <v>154.95867768595042</v>
      </c>
      <c r="AU23" s="98">
        <v>92.97520661157024</v>
      </c>
      <c r="AV23" s="98">
        <v>165.28925619834712</v>
      </c>
      <c r="AW23" s="98">
        <v>433.88429752066116</v>
      </c>
      <c r="AX23" s="98">
        <v>733.4710743801653</v>
      </c>
      <c r="AY23" s="98">
        <v>1033.0578512396694</v>
      </c>
      <c r="AZ23" s="98">
        <v>392.56198347107437</v>
      </c>
      <c r="BA23" s="100" t="s">
        <v>574</v>
      </c>
      <c r="BB23" s="100" t="s">
        <v>574</v>
      </c>
      <c r="BC23" s="100" t="s">
        <v>574</v>
      </c>
      <c r="BD23" s="158">
        <v>0.4617219925</v>
      </c>
      <c r="BE23" s="158">
        <v>0.6747311401</v>
      </c>
      <c r="BF23" s="162">
        <v>1416</v>
      </c>
      <c r="BG23" s="162">
        <v>19</v>
      </c>
      <c r="BH23" s="162">
        <v>2410</v>
      </c>
      <c r="BI23" s="162">
        <v>1435</v>
      </c>
      <c r="BJ23" s="162">
        <v>757</v>
      </c>
      <c r="BK23" s="97"/>
      <c r="BL23" s="97"/>
      <c r="BM23" s="97"/>
      <c r="BN23" s="97"/>
    </row>
    <row r="24" spans="1:66" ht="12.75">
      <c r="A24" s="79" t="s">
        <v>534</v>
      </c>
      <c r="B24" s="79" t="s">
        <v>299</v>
      </c>
      <c r="C24" s="79" t="s">
        <v>198</v>
      </c>
      <c r="D24" s="99">
        <v>7056</v>
      </c>
      <c r="E24" s="99">
        <v>1736</v>
      </c>
      <c r="F24" s="99" t="s">
        <v>356</v>
      </c>
      <c r="G24" s="99">
        <v>42</v>
      </c>
      <c r="H24" s="99">
        <v>17</v>
      </c>
      <c r="I24" s="99">
        <v>181</v>
      </c>
      <c r="J24" s="99">
        <v>739</v>
      </c>
      <c r="K24" s="99">
        <v>7</v>
      </c>
      <c r="L24" s="99">
        <v>1353</v>
      </c>
      <c r="M24" s="99">
        <v>573</v>
      </c>
      <c r="N24" s="99">
        <v>314</v>
      </c>
      <c r="O24" s="99">
        <v>209</v>
      </c>
      <c r="P24" s="159">
        <v>209</v>
      </c>
      <c r="Q24" s="99">
        <v>17</v>
      </c>
      <c r="R24" s="99">
        <v>37</v>
      </c>
      <c r="S24" s="99">
        <v>39</v>
      </c>
      <c r="T24" s="99">
        <v>31</v>
      </c>
      <c r="U24" s="99" t="s">
        <v>574</v>
      </c>
      <c r="V24" s="99">
        <v>67</v>
      </c>
      <c r="W24" s="99">
        <v>47</v>
      </c>
      <c r="X24" s="99">
        <v>92</v>
      </c>
      <c r="Y24" s="99">
        <v>138</v>
      </c>
      <c r="Z24" s="99">
        <v>44</v>
      </c>
      <c r="AA24" s="99" t="s">
        <v>574</v>
      </c>
      <c r="AB24" s="99" t="s">
        <v>574</v>
      </c>
      <c r="AC24" s="99" t="s">
        <v>574</v>
      </c>
      <c r="AD24" s="98" t="s">
        <v>333</v>
      </c>
      <c r="AE24" s="100">
        <v>0.24603174603174602</v>
      </c>
      <c r="AF24" s="100">
        <v>0.07</v>
      </c>
      <c r="AG24" s="98">
        <v>595.2380952380952</v>
      </c>
      <c r="AH24" s="98">
        <v>240.9297052154195</v>
      </c>
      <c r="AI24" s="100">
        <v>0.026000000000000002</v>
      </c>
      <c r="AJ24" s="100">
        <v>0.750254</v>
      </c>
      <c r="AK24" s="100">
        <v>0.5</v>
      </c>
      <c r="AL24" s="100">
        <v>0.820995</v>
      </c>
      <c r="AM24" s="100">
        <v>0.578788</v>
      </c>
      <c r="AN24" s="100">
        <v>0.583643</v>
      </c>
      <c r="AO24" s="98">
        <v>2962.018140589569</v>
      </c>
      <c r="AP24" s="158">
        <v>1.309323578</v>
      </c>
      <c r="AQ24" s="100">
        <v>0.08133971291866028</v>
      </c>
      <c r="AR24" s="100">
        <v>0.4594594594594595</v>
      </c>
      <c r="AS24" s="98">
        <v>552.7210884353741</v>
      </c>
      <c r="AT24" s="98">
        <v>439.3424036281179</v>
      </c>
      <c r="AU24" s="98" t="s">
        <v>574</v>
      </c>
      <c r="AV24" s="98">
        <v>949.546485260771</v>
      </c>
      <c r="AW24" s="98">
        <v>666.0997732426304</v>
      </c>
      <c r="AX24" s="98">
        <v>1303.8548752834467</v>
      </c>
      <c r="AY24" s="98">
        <v>1955.7823129251701</v>
      </c>
      <c r="AZ24" s="98">
        <v>623.5827664399093</v>
      </c>
      <c r="BA24" s="100" t="s">
        <v>574</v>
      </c>
      <c r="BB24" s="100" t="s">
        <v>574</v>
      </c>
      <c r="BC24" s="100" t="s">
        <v>574</v>
      </c>
      <c r="BD24" s="158">
        <v>1.137819901</v>
      </c>
      <c r="BE24" s="158">
        <v>1.4993792719999999</v>
      </c>
      <c r="BF24" s="162">
        <v>985</v>
      </c>
      <c r="BG24" s="162">
        <v>14</v>
      </c>
      <c r="BH24" s="162">
        <v>1648</v>
      </c>
      <c r="BI24" s="162">
        <v>990</v>
      </c>
      <c r="BJ24" s="162">
        <v>538</v>
      </c>
      <c r="BK24" s="97"/>
      <c r="BL24" s="97"/>
      <c r="BM24" s="97"/>
      <c r="BN24" s="97"/>
    </row>
    <row r="25" spans="1:66" ht="12.75">
      <c r="A25" s="79" t="s">
        <v>524</v>
      </c>
      <c r="B25" s="79" t="s">
        <v>288</v>
      </c>
      <c r="C25" s="79" t="s">
        <v>198</v>
      </c>
      <c r="D25" s="99">
        <v>6405</v>
      </c>
      <c r="E25" s="99">
        <v>1453</v>
      </c>
      <c r="F25" s="99" t="s">
        <v>356</v>
      </c>
      <c r="G25" s="99">
        <v>47</v>
      </c>
      <c r="H25" s="99">
        <v>24</v>
      </c>
      <c r="I25" s="99">
        <v>125</v>
      </c>
      <c r="J25" s="99">
        <v>815</v>
      </c>
      <c r="K25" s="99">
        <v>694</v>
      </c>
      <c r="L25" s="99">
        <v>1298</v>
      </c>
      <c r="M25" s="99">
        <v>582</v>
      </c>
      <c r="N25" s="99">
        <v>315</v>
      </c>
      <c r="O25" s="99">
        <v>85</v>
      </c>
      <c r="P25" s="159">
        <v>85</v>
      </c>
      <c r="Q25" s="99">
        <v>10</v>
      </c>
      <c r="R25" s="99">
        <v>27</v>
      </c>
      <c r="S25" s="99">
        <v>23</v>
      </c>
      <c r="T25" s="99">
        <v>13</v>
      </c>
      <c r="U25" s="99" t="s">
        <v>574</v>
      </c>
      <c r="V25" s="99">
        <v>24</v>
      </c>
      <c r="W25" s="99">
        <v>44</v>
      </c>
      <c r="X25" s="99">
        <v>51</v>
      </c>
      <c r="Y25" s="99">
        <v>58</v>
      </c>
      <c r="Z25" s="99">
        <v>40</v>
      </c>
      <c r="AA25" s="99" t="s">
        <v>574</v>
      </c>
      <c r="AB25" s="99" t="s">
        <v>574</v>
      </c>
      <c r="AC25" s="99" t="s">
        <v>574</v>
      </c>
      <c r="AD25" s="98" t="s">
        <v>333</v>
      </c>
      <c r="AE25" s="100">
        <v>0.22685402029664326</v>
      </c>
      <c r="AF25" s="100">
        <v>0.05</v>
      </c>
      <c r="AG25" s="98">
        <v>733.8017174082748</v>
      </c>
      <c r="AH25" s="98">
        <v>374.7072599531616</v>
      </c>
      <c r="AI25" s="100">
        <v>0.02</v>
      </c>
      <c r="AJ25" s="100">
        <v>0.801377</v>
      </c>
      <c r="AK25" s="100">
        <v>0.785957</v>
      </c>
      <c r="AL25" s="100">
        <v>0.844502</v>
      </c>
      <c r="AM25" s="100">
        <v>0.611345</v>
      </c>
      <c r="AN25" s="100">
        <v>0.65625</v>
      </c>
      <c r="AO25" s="98">
        <v>1327.088212334114</v>
      </c>
      <c r="AP25" s="158">
        <v>0.5912623215</v>
      </c>
      <c r="AQ25" s="100">
        <v>0.11764705882352941</v>
      </c>
      <c r="AR25" s="100">
        <v>0.37037037037037035</v>
      </c>
      <c r="AS25" s="98">
        <v>359.0944574551132</v>
      </c>
      <c r="AT25" s="98">
        <v>202.9664324746292</v>
      </c>
      <c r="AU25" s="98" t="s">
        <v>574</v>
      </c>
      <c r="AV25" s="98">
        <v>374.7072599531616</v>
      </c>
      <c r="AW25" s="98">
        <v>686.9633099141296</v>
      </c>
      <c r="AX25" s="98">
        <v>796.2529274004684</v>
      </c>
      <c r="AY25" s="98">
        <v>905.5425448868071</v>
      </c>
      <c r="AZ25" s="98">
        <v>624.5120999219359</v>
      </c>
      <c r="BA25" s="100" t="s">
        <v>574</v>
      </c>
      <c r="BB25" s="100" t="s">
        <v>574</v>
      </c>
      <c r="BC25" s="100" t="s">
        <v>574</v>
      </c>
      <c r="BD25" s="158">
        <v>0.4722793198</v>
      </c>
      <c r="BE25" s="158">
        <v>0.7311049652</v>
      </c>
      <c r="BF25" s="162">
        <v>1017</v>
      </c>
      <c r="BG25" s="162">
        <v>883</v>
      </c>
      <c r="BH25" s="162">
        <v>1537</v>
      </c>
      <c r="BI25" s="162">
        <v>952</v>
      </c>
      <c r="BJ25" s="162">
        <v>480</v>
      </c>
      <c r="BK25" s="97"/>
      <c r="BL25" s="97"/>
      <c r="BM25" s="97"/>
      <c r="BN25" s="97"/>
    </row>
    <row r="26" spans="1:66" ht="12.75">
      <c r="A26" s="79" t="s">
        <v>561</v>
      </c>
      <c r="B26" s="79" t="s">
        <v>326</v>
      </c>
      <c r="C26" s="79" t="s">
        <v>198</v>
      </c>
      <c r="D26" s="99">
        <v>7759</v>
      </c>
      <c r="E26" s="99">
        <v>1326</v>
      </c>
      <c r="F26" s="99" t="s">
        <v>354</v>
      </c>
      <c r="G26" s="99">
        <v>33</v>
      </c>
      <c r="H26" s="99">
        <v>20</v>
      </c>
      <c r="I26" s="99">
        <v>114</v>
      </c>
      <c r="J26" s="99">
        <v>790</v>
      </c>
      <c r="K26" s="99">
        <v>13</v>
      </c>
      <c r="L26" s="99">
        <v>1552</v>
      </c>
      <c r="M26" s="99">
        <v>614</v>
      </c>
      <c r="N26" s="99">
        <v>330</v>
      </c>
      <c r="O26" s="99">
        <v>117</v>
      </c>
      <c r="P26" s="159">
        <v>117</v>
      </c>
      <c r="Q26" s="99">
        <v>16</v>
      </c>
      <c r="R26" s="99">
        <v>29</v>
      </c>
      <c r="S26" s="99">
        <v>28</v>
      </c>
      <c r="T26" s="99">
        <v>29</v>
      </c>
      <c r="U26" s="99" t="s">
        <v>574</v>
      </c>
      <c r="V26" s="99">
        <v>13</v>
      </c>
      <c r="W26" s="99">
        <v>53</v>
      </c>
      <c r="X26" s="99">
        <v>43</v>
      </c>
      <c r="Y26" s="99">
        <v>86</v>
      </c>
      <c r="Z26" s="99">
        <v>37</v>
      </c>
      <c r="AA26" s="99" t="s">
        <v>574</v>
      </c>
      <c r="AB26" s="99" t="s">
        <v>574</v>
      </c>
      <c r="AC26" s="99" t="s">
        <v>574</v>
      </c>
      <c r="AD26" s="98" t="s">
        <v>333</v>
      </c>
      <c r="AE26" s="100">
        <v>0.17089831163809768</v>
      </c>
      <c r="AF26" s="100">
        <v>0.1</v>
      </c>
      <c r="AG26" s="98">
        <v>425.3125402758087</v>
      </c>
      <c r="AH26" s="98">
        <v>257.76517592473255</v>
      </c>
      <c r="AI26" s="100">
        <v>0.015</v>
      </c>
      <c r="AJ26" s="100">
        <v>0.707885</v>
      </c>
      <c r="AK26" s="100">
        <v>0.866667</v>
      </c>
      <c r="AL26" s="100">
        <v>0.791433</v>
      </c>
      <c r="AM26" s="100">
        <v>0.604331</v>
      </c>
      <c r="AN26" s="100">
        <v>0.634615</v>
      </c>
      <c r="AO26" s="98">
        <v>1507.9262791596855</v>
      </c>
      <c r="AP26" s="158">
        <v>0.7733336638999999</v>
      </c>
      <c r="AQ26" s="100">
        <v>0.13675213675213677</v>
      </c>
      <c r="AR26" s="100">
        <v>0.5517241379310345</v>
      </c>
      <c r="AS26" s="98">
        <v>360.8712462946256</v>
      </c>
      <c r="AT26" s="98">
        <v>373.7595050908622</v>
      </c>
      <c r="AU26" s="98" t="s">
        <v>574</v>
      </c>
      <c r="AV26" s="98">
        <v>167.54736435107617</v>
      </c>
      <c r="AW26" s="98">
        <v>683.0777162005413</v>
      </c>
      <c r="AX26" s="98">
        <v>554.195128238175</v>
      </c>
      <c r="AY26" s="98">
        <v>1108.39025647635</v>
      </c>
      <c r="AZ26" s="98">
        <v>476.8655754607552</v>
      </c>
      <c r="BA26" s="100" t="s">
        <v>574</v>
      </c>
      <c r="BB26" s="100" t="s">
        <v>574</v>
      </c>
      <c r="BC26" s="100" t="s">
        <v>574</v>
      </c>
      <c r="BD26" s="158">
        <v>0.6395680237</v>
      </c>
      <c r="BE26" s="158">
        <v>0.9268201447</v>
      </c>
      <c r="BF26" s="162">
        <v>1116</v>
      </c>
      <c r="BG26" s="162">
        <v>15</v>
      </c>
      <c r="BH26" s="162">
        <v>1961</v>
      </c>
      <c r="BI26" s="162">
        <v>1016</v>
      </c>
      <c r="BJ26" s="162">
        <v>520</v>
      </c>
      <c r="BK26" s="97"/>
      <c r="BL26" s="97"/>
      <c r="BM26" s="97"/>
      <c r="BN26" s="97"/>
    </row>
    <row r="27" spans="1:66" ht="12.75">
      <c r="A27" s="79" t="s">
        <v>558</v>
      </c>
      <c r="B27" s="79" t="s">
        <v>323</v>
      </c>
      <c r="C27" s="79" t="s">
        <v>198</v>
      </c>
      <c r="D27" s="99">
        <v>5389</v>
      </c>
      <c r="E27" s="99">
        <v>1070</v>
      </c>
      <c r="F27" s="99" t="s">
        <v>356</v>
      </c>
      <c r="G27" s="99">
        <v>27</v>
      </c>
      <c r="H27" s="99">
        <v>16</v>
      </c>
      <c r="I27" s="99">
        <v>88</v>
      </c>
      <c r="J27" s="99">
        <v>593</v>
      </c>
      <c r="K27" s="99">
        <v>9</v>
      </c>
      <c r="L27" s="99">
        <v>1028</v>
      </c>
      <c r="M27" s="99">
        <v>368</v>
      </c>
      <c r="N27" s="99">
        <v>190</v>
      </c>
      <c r="O27" s="99">
        <v>62</v>
      </c>
      <c r="P27" s="159">
        <v>62</v>
      </c>
      <c r="Q27" s="99">
        <v>10</v>
      </c>
      <c r="R27" s="99">
        <v>30</v>
      </c>
      <c r="S27" s="99">
        <v>21</v>
      </c>
      <c r="T27" s="99" t="s">
        <v>574</v>
      </c>
      <c r="U27" s="99" t="s">
        <v>574</v>
      </c>
      <c r="V27" s="99">
        <v>12</v>
      </c>
      <c r="W27" s="99">
        <v>20</v>
      </c>
      <c r="X27" s="99">
        <v>62</v>
      </c>
      <c r="Y27" s="99">
        <v>78</v>
      </c>
      <c r="Z27" s="99">
        <v>41</v>
      </c>
      <c r="AA27" s="99" t="s">
        <v>574</v>
      </c>
      <c r="AB27" s="99" t="s">
        <v>574</v>
      </c>
      <c r="AC27" s="99" t="s">
        <v>574</v>
      </c>
      <c r="AD27" s="98" t="s">
        <v>333</v>
      </c>
      <c r="AE27" s="100">
        <v>0.19855260716273893</v>
      </c>
      <c r="AF27" s="100">
        <v>0.08</v>
      </c>
      <c r="AG27" s="98">
        <v>501.0205975134533</v>
      </c>
      <c r="AH27" s="98">
        <v>296.9010948227872</v>
      </c>
      <c r="AI27" s="100">
        <v>0.016</v>
      </c>
      <c r="AJ27" s="100">
        <v>0.776178</v>
      </c>
      <c r="AK27" s="100">
        <v>0.692308</v>
      </c>
      <c r="AL27" s="100">
        <v>0.793822</v>
      </c>
      <c r="AM27" s="100">
        <v>0.542773</v>
      </c>
      <c r="AN27" s="100">
        <v>0.552326</v>
      </c>
      <c r="AO27" s="98">
        <v>1150.4917424383002</v>
      </c>
      <c r="AP27" s="158">
        <v>0.5521075821</v>
      </c>
      <c r="AQ27" s="100">
        <v>0.16129032258064516</v>
      </c>
      <c r="AR27" s="100">
        <v>0.3333333333333333</v>
      </c>
      <c r="AS27" s="98">
        <v>389.68268695490815</v>
      </c>
      <c r="AT27" s="98" t="s">
        <v>574</v>
      </c>
      <c r="AU27" s="98" t="s">
        <v>574</v>
      </c>
      <c r="AV27" s="98">
        <v>222.67582111709038</v>
      </c>
      <c r="AW27" s="98">
        <v>371.12636852848397</v>
      </c>
      <c r="AX27" s="98">
        <v>1150.4917424383002</v>
      </c>
      <c r="AY27" s="98">
        <v>1447.3928372610874</v>
      </c>
      <c r="AZ27" s="98">
        <v>760.8090554833921</v>
      </c>
      <c r="BA27" s="100" t="s">
        <v>574</v>
      </c>
      <c r="BB27" s="100" t="s">
        <v>574</v>
      </c>
      <c r="BC27" s="100" t="s">
        <v>574</v>
      </c>
      <c r="BD27" s="158">
        <v>0.4232977295</v>
      </c>
      <c r="BE27" s="158">
        <v>0.7077770232999999</v>
      </c>
      <c r="BF27" s="162">
        <v>764</v>
      </c>
      <c r="BG27" s="162">
        <v>13</v>
      </c>
      <c r="BH27" s="162">
        <v>1295</v>
      </c>
      <c r="BI27" s="162">
        <v>678</v>
      </c>
      <c r="BJ27" s="162">
        <v>344</v>
      </c>
      <c r="BK27" s="97"/>
      <c r="BL27" s="97"/>
      <c r="BM27" s="97"/>
      <c r="BN27" s="97"/>
    </row>
    <row r="28" spans="1:66" ht="12.75">
      <c r="A28" s="79" t="s">
        <v>560</v>
      </c>
      <c r="B28" s="79" t="s">
        <v>325</v>
      </c>
      <c r="C28" s="79" t="s">
        <v>198</v>
      </c>
      <c r="D28" s="99">
        <v>6462</v>
      </c>
      <c r="E28" s="99">
        <v>791</v>
      </c>
      <c r="F28" s="99" t="s">
        <v>355</v>
      </c>
      <c r="G28" s="99">
        <v>29</v>
      </c>
      <c r="H28" s="99">
        <v>13</v>
      </c>
      <c r="I28" s="99">
        <v>98</v>
      </c>
      <c r="J28" s="99">
        <v>502</v>
      </c>
      <c r="K28" s="99" t="s">
        <v>574</v>
      </c>
      <c r="L28" s="99">
        <v>1257</v>
      </c>
      <c r="M28" s="99">
        <v>300</v>
      </c>
      <c r="N28" s="99">
        <v>164</v>
      </c>
      <c r="O28" s="99">
        <v>38</v>
      </c>
      <c r="P28" s="159">
        <v>38</v>
      </c>
      <c r="Q28" s="99">
        <v>10</v>
      </c>
      <c r="R28" s="99">
        <v>23</v>
      </c>
      <c r="S28" s="99" t="s">
        <v>574</v>
      </c>
      <c r="T28" s="99">
        <v>6</v>
      </c>
      <c r="U28" s="99" t="s">
        <v>574</v>
      </c>
      <c r="V28" s="99">
        <v>8</v>
      </c>
      <c r="W28" s="99">
        <v>15</v>
      </c>
      <c r="X28" s="99">
        <v>63</v>
      </c>
      <c r="Y28" s="99">
        <v>74</v>
      </c>
      <c r="Z28" s="99">
        <v>39</v>
      </c>
      <c r="AA28" s="99" t="s">
        <v>574</v>
      </c>
      <c r="AB28" s="99" t="s">
        <v>574</v>
      </c>
      <c r="AC28" s="99" t="s">
        <v>574</v>
      </c>
      <c r="AD28" s="98" t="s">
        <v>333</v>
      </c>
      <c r="AE28" s="100">
        <v>0.12240792324357784</v>
      </c>
      <c r="AF28" s="100">
        <v>0.13</v>
      </c>
      <c r="AG28" s="98">
        <v>448.7774682760755</v>
      </c>
      <c r="AH28" s="98">
        <v>201.17610646858557</v>
      </c>
      <c r="AI28" s="100">
        <v>0.015</v>
      </c>
      <c r="AJ28" s="100">
        <v>0.649418</v>
      </c>
      <c r="AK28" s="100" t="s">
        <v>574</v>
      </c>
      <c r="AL28" s="100">
        <v>0.776405</v>
      </c>
      <c r="AM28" s="100">
        <v>0.470958</v>
      </c>
      <c r="AN28" s="100">
        <v>0.510903</v>
      </c>
      <c r="AO28" s="98">
        <v>588.0532342927886</v>
      </c>
      <c r="AP28" s="158">
        <v>0.3453826904</v>
      </c>
      <c r="AQ28" s="100">
        <v>0.2631578947368421</v>
      </c>
      <c r="AR28" s="100">
        <v>0.43478260869565216</v>
      </c>
      <c r="AS28" s="98" t="s">
        <v>574</v>
      </c>
      <c r="AT28" s="98">
        <v>92.85051067780873</v>
      </c>
      <c r="AU28" s="98" t="s">
        <v>574</v>
      </c>
      <c r="AV28" s="98">
        <v>123.80068090374498</v>
      </c>
      <c r="AW28" s="98">
        <v>232.1262766945218</v>
      </c>
      <c r="AX28" s="98">
        <v>974.9303621169917</v>
      </c>
      <c r="AY28" s="98">
        <v>1145.156298359641</v>
      </c>
      <c r="AZ28" s="98">
        <v>603.5283194057567</v>
      </c>
      <c r="BA28" s="100" t="s">
        <v>574</v>
      </c>
      <c r="BB28" s="100" t="s">
        <v>574</v>
      </c>
      <c r="BC28" s="100" t="s">
        <v>574</v>
      </c>
      <c r="BD28" s="158">
        <v>0.2444133568</v>
      </c>
      <c r="BE28" s="158">
        <v>0.4740647507</v>
      </c>
      <c r="BF28" s="162">
        <v>773</v>
      </c>
      <c r="BG28" s="162" t="s">
        <v>574</v>
      </c>
      <c r="BH28" s="162">
        <v>1619</v>
      </c>
      <c r="BI28" s="162">
        <v>637</v>
      </c>
      <c r="BJ28" s="162">
        <v>321</v>
      </c>
      <c r="BK28" s="97"/>
      <c r="BL28" s="97"/>
      <c r="BM28" s="97"/>
      <c r="BN28" s="97"/>
    </row>
    <row r="29" spans="1:66" ht="12.75">
      <c r="A29" s="79" t="s">
        <v>523</v>
      </c>
      <c r="B29" s="79" t="s">
        <v>287</v>
      </c>
      <c r="C29" s="79" t="s">
        <v>198</v>
      </c>
      <c r="D29" s="99">
        <v>12879</v>
      </c>
      <c r="E29" s="99">
        <v>1631</v>
      </c>
      <c r="F29" s="99" t="s">
        <v>355</v>
      </c>
      <c r="G29" s="99">
        <v>53</v>
      </c>
      <c r="H29" s="99">
        <v>25</v>
      </c>
      <c r="I29" s="99">
        <v>171</v>
      </c>
      <c r="J29" s="99">
        <v>929</v>
      </c>
      <c r="K29" s="99">
        <v>900</v>
      </c>
      <c r="L29" s="99">
        <v>2328</v>
      </c>
      <c r="M29" s="99">
        <v>533</v>
      </c>
      <c r="N29" s="99">
        <v>288</v>
      </c>
      <c r="O29" s="99">
        <v>144</v>
      </c>
      <c r="P29" s="159">
        <v>144</v>
      </c>
      <c r="Q29" s="99">
        <v>26</v>
      </c>
      <c r="R29" s="99">
        <v>56</v>
      </c>
      <c r="S29" s="99">
        <v>33</v>
      </c>
      <c r="T29" s="99">
        <v>30</v>
      </c>
      <c r="U29" s="99">
        <v>8</v>
      </c>
      <c r="V29" s="99">
        <v>23</v>
      </c>
      <c r="W29" s="99">
        <v>48</v>
      </c>
      <c r="X29" s="99">
        <v>117</v>
      </c>
      <c r="Y29" s="99">
        <v>185</v>
      </c>
      <c r="Z29" s="99">
        <v>84</v>
      </c>
      <c r="AA29" s="99" t="s">
        <v>574</v>
      </c>
      <c r="AB29" s="99" t="s">
        <v>574</v>
      </c>
      <c r="AC29" s="99" t="s">
        <v>574</v>
      </c>
      <c r="AD29" s="98" t="s">
        <v>333</v>
      </c>
      <c r="AE29" s="100">
        <v>0.12664026710148304</v>
      </c>
      <c r="AF29" s="100">
        <v>0.15</v>
      </c>
      <c r="AG29" s="98">
        <v>411.52263374485597</v>
      </c>
      <c r="AH29" s="98">
        <v>194.11444987964904</v>
      </c>
      <c r="AI29" s="100">
        <v>0.013000000000000001</v>
      </c>
      <c r="AJ29" s="100">
        <v>0.768404</v>
      </c>
      <c r="AK29" s="100">
        <v>0.769231</v>
      </c>
      <c r="AL29" s="100">
        <v>0.705882</v>
      </c>
      <c r="AM29" s="100">
        <v>0.514976</v>
      </c>
      <c r="AN29" s="100">
        <v>0.553846</v>
      </c>
      <c r="AO29" s="98">
        <v>1118.0992313067784</v>
      </c>
      <c r="AP29" s="158">
        <v>0.6936639404</v>
      </c>
      <c r="AQ29" s="100">
        <v>0.18055555555555555</v>
      </c>
      <c r="AR29" s="100">
        <v>0.4642857142857143</v>
      </c>
      <c r="AS29" s="98">
        <v>256.2310738411367</v>
      </c>
      <c r="AT29" s="98">
        <v>232.93733985557884</v>
      </c>
      <c r="AU29" s="98">
        <v>62.11662396148769</v>
      </c>
      <c r="AV29" s="98">
        <v>178.58529388927712</v>
      </c>
      <c r="AW29" s="98">
        <v>372.69974376892617</v>
      </c>
      <c r="AX29" s="98">
        <v>908.4556254367575</v>
      </c>
      <c r="AY29" s="98">
        <v>1436.4469291094028</v>
      </c>
      <c r="AZ29" s="98">
        <v>652.2245515956208</v>
      </c>
      <c r="BA29" s="100" t="s">
        <v>574</v>
      </c>
      <c r="BB29" s="100" t="s">
        <v>574</v>
      </c>
      <c r="BC29" s="100" t="s">
        <v>574</v>
      </c>
      <c r="BD29" s="158">
        <v>0.5849967957</v>
      </c>
      <c r="BE29" s="158">
        <v>0.8166616820999999</v>
      </c>
      <c r="BF29" s="162">
        <v>1209</v>
      </c>
      <c r="BG29" s="162">
        <v>1170</v>
      </c>
      <c r="BH29" s="162">
        <v>3298</v>
      </c>
      <c r="BI29" s="162">
        <v>1035</v>
      </c>
      <c r="BJ29" s="162">
        <v>520</v>
      </c>
      <c r="BK29" s="97"/>
      <c r="BL29" s="97"/>
      <c r="BM29" s="97"/>
      <c r="BN29" s="97"/>
    </row>
    <row r="30" spans="1:66" ht="12.75">
      <c r="A30" s="79" t="s">
        <v>520</v>
      </c>
      <c r="B30" s="79" t="s">
        <v>284</v>
      </c>
      <c r="C30" s="79" t="s">
        <v>198</v>
      </c>
      <c r="D30" s="99">
        <v>5947</v>
      </c>
      <c r="E30" s="99">
        <v>1180</v>
      </c>
      <c r="F30" s="99" t="s">
        <v>354</v>
      </c>
      <c r="G30" s="99">
        <v>26</v>
      </c>
      <c r="H30" s="99">
        <v>20</v>
      </c>
      <c r="I30" s="99">
        <v>122</v>
      </c>
      <c r="J30" s="99">
        <v>552</v>
      </c>
      <c r="K30" s="99">
        <v>263</v>
      </c>
      <c r="L30" s="99">
        <v>1264</v>
      </c>
      <c r="M30" s="99">
        <v>388</v>
      </c>
      <c r="N30" s="99">
        <v>200</v>
      </c>
      <c r="O30" s="99">
        <v>116</v>
      </c>
      <c r="P30" s="159">
        <v>116</v>
      </c>
      <c r="Q30" s="99">
        <v>15</v>
      </c>
      <c r="R30" s="99">
        <v>29</v>
      </c>
      <c r="S30" s="99">
        <v>15</v>
      </c>
      <c r="T30" s="99">
        <v>7</v>
      </c>
      <c r="U30" s="99" t="s">
        <v>574</v>
      </c>
      <c r="V30" s="99">
        <v>45</v>
      </c>
      <c r="W30" s="99">
        <v>24</v>
      </c>
      <c r="X30" s="99">
        <v>80</v>
      </c>
      <c r="Y30" s="99">
        <v>61</v>
      </c>
      <c r="Z30" s="99">
        <v>32</v>
      </c>
      <c r="AA30" s="99" t="s">
        <v>574</v>
      </c>
      <c r="AB30" s="99" t="s">
        <v>574</v>
      </c>
      <c r="AC30" s="99" t="s">
        <v>574</v>
      </c>
      <c r="AD30" s="98" t="s">
        <v>333</v>
      </c>
      <c r="AE30" s="100">
        <v>0.19841937111148478</v>
      </c>
      <c r="AF30" s="100">
        <v>0.09</v>
      </c>
      <c r="AG30" s="98">
        <v>437.1952244829326</v>
      </c>
      <c r="AH30" s="98">
        <v>336.30401883302505</v>
      </c>
      <c r="AI30" s="100">
        <v>0.021</v>
      </c>
      <c r="AJ30" s="100">
        <v>0.736983</v>
      </c>
      <c r="AK30" s="100">
        <v>0.814241</v>
      </c>
      <c r="AL30" s="100">
        <v>0.854632</v>
      </c>
      <c r="AM30" s="100">
        <v>0.565598</v>
      </c>
      <c r="AN30" s="100">
        <v>0.573066</v>
      </c>
      <c r="AO30" s="98">
        <v>1950.5633092315454</v>
      </c>
      <c r="AP30" s="158">
        <v>0.9443288422</v>
      </c>
      <c r="AQ30" s="100">
        <v>0.12931034482758622</v>
      </c>
      <c r="AR30" s="100">
        <v>0.5172413793103449</v>
      </c>
      <c r="AS30" s="98">
        <v>252.2280141247688</v>
      </c>
      <c r="AT30" s="98">
        <v>117.70640659155877</v>
      </c>
      <c r="AU30" s="98" t="s">
        <v>574</v>
      </c>
      <c r="AV30" s="98">
        <v>756.6840423743064</v>
      </c>
      <c r="AW30" s="98">
        <v>403.5648225996301</v>
      </c>
      <c r="AX30" s="98">
        <v>1345.2160753321002</v>
      </c>
      <c r="AY30" s="98">
        <v>1025.7272574407264</v>
      </c>
      <c r="AZ30" s="98">
        <v>538.0864301328401</v>
      </c>
      <c r="BA30" s="100" t="s">
        <v>574</v>
      </c>
      <c r="BB30" s="100" t="s">
        <v>574</v>
      </c>
      <c r="BC30" s="100" t="s">
        <v>574</v>
      </c>
      <c r="BD30" s="158">
        <v>0.7803171539</v>
      </c>
      <c r="BE30" s="158">
        <v>1.132632446</v>
      </c>
      <c r="BF30" s="162">
        <v>749</v>
      </c>
      <c r="BG30" s="162">
        <v>323</v>
      </c>
      <c r="BH30" s="162">
        <v>1479</v>
      </c>
      <c r="BI30" s="162">
        <v>686</v>
      </c>
      <c r="BJ30" s="162">
        <v>349</v>
      </c>
      <c r="BK30" s="97"/>
      <c r="BL30" s="97"/>
      <c r="BM30" s="97"/>
      <c r="BN30" s="97"/>
    </row>
    <row r="31" spans="1:66" ht="12.75">
      <c r="A31" s="79" t="s">
        <v>532</v>
      </c>
      <c r="B31" s="79" t="s">
        <v>297</v>
      </c>
      <c r="C31" s="79" t="s">
        <v>198</v>
      </c>
      <c r="D31" s="99">
        <v>10208</v>
      </c>
      <c r="E31" s="99">
        <v>1593</v>
      </c>
      <c r="F31" s="99" t="s">
        <v>356</v>
      </c>
      <c r="G31" s="99">
        <v>42</v>
      </c>
      <c r="H31" s="99">
        <v>33</v>
      </c>
      <c r="I31" s="99">
        <v>201</v>
      </c>
      <c r="J31" s="99">
        <v>938</v>
      </c>
      <c r="K31" s="99">
        <v>13</v>
      </c>
      <c r="L31" s="99">
        <v>2195</v>
      </c>
      <c r="M31" s="99">
        <v>619</v>
      </c>
      <c r="N31" s="99">
        <v>350</v>
      </c>
      <c r="O31" s="99">
        <v>118</v>
      </c>
      <c r="P31" s="159">
        <v>118</v>
      </c>
      <c r="Q31" s="99">
        <v>19</v>
      </c>
      <c r="R31" s="99">
        <v>57</v>
      </c>
      <c r="S31" s="99">
        <v>44</v>
      </c>
      <c r="T31" s="99">
        <v>9</v>
      </c>
      <c r="U31" s="99">
        <v>7</v>
      </c>
      <c r="V31" s="99">
        <v>20</v>
      </c>
      <c r="W31" s="99">
        <v>49</v>
      </c>
      <c r="X31" s="99">
        <v>134</v>
      </c>
      <c r="Y31" s="99">
        <v>153</v>
      </c>
      <c r="Z31" s="99">
        <v>69</v>
      </c>
      <c r="AA31" s="99" t="s">
        <v>574</v>
      </c>
      <c r="AB31" s="99" t="s">
        <v>574</v>
      </c>
      <c r="AC31" s="99" t="s">
        <v>574</v>
      </c>
      <c r="AD31" s="98" t="s">
        <v>333</v>
      </c>
      <c r="AE31" s="100">
        <v>0.15605407523510972</v>
      </c>
      <c r="AF31" s="100">
        <v>0.08</v>
      </c>
      <c r="AG31" s="98">
        <v>411.44200626959247</v>
      </c>
      <c r="AH31" s="98">
        <v>323.2758620689655</v>
      </c>
      <c r="AI31" s="100">
        <v>0.02</v>
      </c>
      <c r="AJ31" s="100">
        <v>0.714395</v>
      </c>
      <c r="AK31" s="100">
        <v>0.65</v>
      </c>
      <c r="AL31" s="100">
        <v>0.835236</v>
      </c>
      <c r="AM31" s="100">
        <v>0.535004</v>
      </c>
      <c r="AN31" s="100">
        <v>0.559105</v>
      </c>
      <c r="AO31" s="98">
        <v>1155.9561128526645</v>
      </c>
      <c r="AP31" s="158">
        <v>0.6164516068</v>
      </c>
      <c r="AQ31" s="100">
        <v>0.16101694915254236</v>
      </c>
      <c r="AR31" s="100">
        <v>0.3333333333333333</v>
      </c>
      <c r="AS31" s="98">
        <v>431.0344827586207</v>
      </c>
      <c r="AT31" s="98">
        <v>88.16614420062696</v>
      </c>
      <c r="AU31" s="98">
        <v>68.57366771159874</v>
      </c>
      <c r="AV31" s="98">
        <v>195.92476489028212</v>
      </c>
      <c r="AW31" s="98">
        <v>480.01567398119124</v>
      </c>
      <c r="AX31" s="98">
        <v>1312.6959247648904</v>
      </c>
      <c r="AY31" s="98">
        <v>1498.8244514106584</v>
      </c>
      <c r="AZ31" s="98">
        <v>675.9404388714734</v>
      </c>
      <c r="BA31" s="100" t="s">
        <v>574</v>
      </c>
      <c r="BB31" s="100" t="s">
        <v>574</v>
      </c>
      <c r="BC31" s="100" t="s">
        <v>574</v>
      </c>
      <c r="BD31" s="158">
        <v>0.5102532578000001</v>
      </c>
      <c r="BE31" s="158">
        <v>0.7382348633</v>
      </c>
      <c r="BF31" s="162">
        <v>1313</v>
      </c>
      <c r="BG31" s="162">
        <v>20</v>
      </c>
      <c r="BH31" s="162">
        <v>2628</v>
      </c>
      <c r="BI31" s="162">
        <v>1157</v>
      </c>
      <c r="BJ31" s="162">
        <v>626</v>
      </c>
      <c r="BK31" s="97"/>
      <c r="BL31" s="97"/>
      <c r="BM31" s="97"/>
      <c r="BN31" s="97"/>
    </row>
    <row r="32" spans="1:66" ht="12.75">
      <c r="A32" s="79" t="s">
        <v>544</v>
      </c>
      <c r="B32" s="79" t="s">
        <v>310</v>
      </c>
      <c r="C32" s="79" t="s">
        <v>198</v>
      </c>
      <c r="D32" s="99">
        <v>7933</v>
      </c>
      <c r="E32" s="99">
        <v>1333</v>
      </c>
      <c r="F32" s="99" t="s">
        <v>354</v>
      </c>
      <c r="G32" s="99">
        <v>36</v>
      </c>
      <c r="H32" s="99">
        <v>22</v>
      </c>
      <c r="I32" s="99">
        <v>158</v>
      </c>
      <c r="J32" s="99">
        <v>865</v>
      </c>
      <c r="K32" s="99">
        <v>10</v>
      </c>
      <c r="L32" s="99">
        <v>1630</v>
      </c>
      <c r="M32" s="99">
        <v>706</v>
      </c>
      <c r="N32" s="99">
        <v>373</v>
      </c>
      <c r="O32" s="99">
        <v>121</v>
      </c>
      <c r="P32" s="159">
        <v>121</v>
      </c>
      <c r="Q32" s="99">
        <v>24</v>
      </c>
      <c r="R32" s="99">
        <v>50</v>
      </c>
      <c r="S32" s="99">
        <v>20</v>
      </c>
      <c r="T32" s="99">
        <v>18</v>
      </c>
      <c r="U32" s="99">
        <v>6</v>
      </c>
      <c r="V32" s="99">
        <v>22</v>
      </c>
      <c r="W32" s="99">
        <v>34</v>
      </c>
      <c r="X32" s="99">
        <v>62</v>
      </c>
      <c r="Y32" s="99">
        <v>86</v>
      </c>
      <c r="Z32" s="99">
        <v>54</v>
      </c>
      <c r="AA32" s="99" t="s">
        <v>574</v>
      </c>
      <c r="AB32" s="99" t="s">
        <v>574</v>
      </c>
      <c r="AC32" s="99" t="s">
        <v>574</v>
      </c>
      <c r="AD32" s="98" t="s">
        <v>333</v>
      </c>
      <c r="AE32" s="100">
        <v>0.16803227026345643</v>
      </c>
      <c r="AF32" s="100">
        <v>0.09</v>
      </c>
      <c r="AG32" s="98">
        <v>453.8005798562965</v>
      </c>
      <c r="AH32" s="98">
        <v>277.3225765788479</v>
      </c>
      <c r="AI32" s="100">
        <v>0.02</v>
      </c>
      <c r="AJ32" s="100">
        <v>0.784225</v>
      </c>
      <c r="AK32" s="100">
        <v>0.909091</v>
      </c>
      <c r="AL32" s="100">
        <v>0.818684</v>
      </c>
      <c r="AM32" s="100">
        <v>0.625887</v>
      </c>
      <c r="AN32" s="100">
        <v>0.625839</v>
      </c>
      <c r="AO32" s="98">
        <v>1525.2741711836632</v>
      </c>
      <c r="AP32" s="158">
        <v>0.7974036407</v>
      </c>
      <c r="AQ32" s="100">
        <v>0.19834710743801653</v>
      </c>
      <c r="AR32" s="100">
        <v>0.48</v>
      </c>
      <c r="AS32" s="98">
        <v>252.11143325349803</v>
      </c>
      <c r="AT32" s="98">
        <v>226.90028992814825</v>
      </c>
      <c r="AU32" s="98">
        <v>75.63342997604941</v>
      </c>
      <c r="AV32" s="98">
        <v>277.3225765788479</v>
      </c>
      <c r="AW32" s="98">
        <v>428.58943653094667</v>
      </c>
      <c r="AX32" s="98">
        <v>781.545443085844</v>
      </c>
      <c r="AY32" s="98">
        <v>1084.0791629900416</v>
      </c>
      <c r="AZ32" s="98">
        <v>680.7008697844448</v>
      </c>
      <c r="BA32" s="100" t="s">
        <v>574</v>
      </c>
      <c r="BB32" s="100" t="s">
        <v>574</v>
      </c>
      <c r="BC32" s="100" t="s">
        <v>574</v>
      </c>
      <c r="BD32" s="158">
        <v>0.6616643524</v>
      </c>
      <c r="BE32" s="158">
        <v>0.9527955627</v>
      </c>
      <c r="BF32" s="162">
        <v>1103</v>
      </c>
      <c r="BG32" s="162">
        <v>11</v>
      </c>
      <c r="BH32" s="162">
        <v>1991</v>
      </c>
      <c r="BI32" s="162">
        <v>1128</v>
      </c>
      <c r="BJ32" s="162">
        <v>596</v>
      </c>
      <c r="BK32" s="97"/>
      <c r="BL32" s="97"/>
      <c r="BM32" s="97"/>
      <c r="BN32" s="97"/>
    </row>
    <row r="33" spans="1:66" ht="12.75">
      <c r="A33" s="79" t="s">
        <v>556</v>
      </c>
      <c r="B33" s="79" t="s">
        <v>321</v>
      </c>
      <c r="C33" s="79" t="s">
        <v>198</v>
      </c>
      <c r="D33" s="99">
        <v>11077</v>
      </c>
      <c r="E33" s="99">
        <v>1857</v>
      </c>
      <c r="F33" s="99" t="s">
        <v>354</v>
      </c>
      <c r="G33" s="99">
        <v>58</v>
      </c>
      <c r="H33" s="99">
        <v>32</v>
      </c>
      <c r="I33" s="99">
        <v>156</v>
      </c>
      <c r="J33" s="99">
        <v>1102</v>
      </c>
      <c r="K33" s="99">
        <v>8</v>
      </c>
      <c r="L33" s="99">
        <v>2168</v>
      </c>
      <c r="M33" s="99">
        <v>690</v>
      </c>
      <c r="N33" s="99">
        <v>372</v>
      </c>
      <c r="O33" s="99">
        <v>123</v>
      </c>
      <c r="P33" s="159">
        <v>123</v>
      </c>
      <c r="Q33" s="99">
        <v>9</v>
      </c>
      <c r="R33" s="99">
        <v>24</v>
      </c>
      <c r="S33" s="99">
        <v>31</v>
      </c>
      <c r="T33" s="99">
        <v>27</v>
      </c>
      <c r="U33" s="99" t="s">
        <v>574</v>
      </c>
      <c r="V33" s="99">
        <v>13</v>
      </c>
      <c r="W33" s="99">
        <v>47</v>
      </c>
      <c r="X33" s="99">
        <v>76</v>
      </c>
      <c r="Y33" s="99">
        <v>119</v>
      </c>
      <c r="Z33" s="99">
        <v>88</v>
      </c>
      <c r="AA33" s="99" t="s">
        <v>574</v>
      </c>
      <c r="AB33" s="99" t="s">
        <v>574</v>
      </c>
      <c r="AC33" s="99" t="s">
        <v>574</v>
      </c>
      <c r="AD33" s="98" t="s">
        <v>333</v>
      </c>
      <c r="AE33" s="100">
        <v>0.1676446691342421</v>
      </c>
      <c r="AF33" s="100">
        <v>0.11</v>
      </c>
      <c r="AG33" s="98">
        <v>523.6074749480906</v>
      </c>
      <c r="AH33" s="98">
        <v>288.88688272998104</v>
      </c>
      <c r="AI33" s="100">
        <v>0.013999999999999999</v>
      </c>
      <c r="AJ33" s="100">
        <v>0.770629</v>
      </c>
      <c r="AK33" s="100">
        <v>0.8</v>
      </c>
      <c r="AL33" s="100">
        <v>0.765807</v>
      </c>
      <c r="AM33" s="100">
        <v>0.555556</v>
      </c>
      <c r="AN33" s="100">
        <v>0.58216</v>
      </c>
      <c r="AO33" s="98">
        <v>1110.4089554933646</v>
      </c>
      <c r="AP33" s="158">
        <v>0.5779655075</v>
      </c>
      <c r="AQ33" s="100">
        <v>0.07317073170731707</v>
      </c>
      <c r="AR33" s="100">
        <v>0.375</v>
      </c>
      <c r="AS33" s="98">
        <v>279.8591676446691</v>
      </c>
      <c r="AT33" s="98">
        <v>243.7483073034215</v>
      </c>
      <c r="AU33" s="98" t="s">
        <v>574</v>
      </c>
      <c r="AV33" s="98">
        <v>117.3602961090548</v>
      </c>
      <c r="AW33" s="98">
        <v>424.30260900965965</v>
      </c>
      <c r="AX33" s="98">
        <v>686.106346483705</v>
      </c>
      <c r="AY33" s="98">
        <v>1074.298095152117</v>
      </c>
      <c r="AZ33" s="98">
        <v>794.4389275074478</v>
      </c>
      <c r="BA33" s="100" t="s">
        <v>574</v>
      </c>
      <c r="BB33" s="100" t="s">
        <v>574</v>
      </c>
      <c r="BC33" s="100" t="s">
        <v>574</v>
      </c>
      <c r="BD33" s="158">
        <v>0.4803458405</v>
      </c>
      <c r="BE33" s="158">
        <v>0.6895947266</v>
      </c>
      <c r="BF33" s="162">
        <v>1430</v>
      </c>
      <c r="BG33" s="162">
        <v>10</v>
      </c>
      <c r="BH33" s="162">
        <v>2831</v>
      </c>
      <c r="BI33" s="162">
        <v>1242</v>
      </c>
      <c r="BJ33" s="162">
        <v>639</v>
      </c>
      <c r="BK33" s="97"/>
      <c r="BL33" s="97"/>
      <c r="BM33" s="97"/>
      <c r="BN33" s="97"/>
    </row>
    <row r="34" spans="1:66" ht="12.75">
      <c r="A34" s="79" t="s">
        <v>553</v>
      </c>
      <c r="B34" s="79" t="s">
        <v>319</v>
      </c>
      <c r="C34" s="79" t="s">
        <v>198</v>
      </c>
      <c r="D34" s="99">
        <v>8842</v>
      </c>
      <c r="E34" s="99">
        <v>1853</v>
      </c>
      <c r="F34" s="99" t="s">
        <v>354</v>
      </c>
      <c r="G34" s="99">
        <v>51</v>
      </c>
      <c r="H34" s="99">
        <v>17</v>
      </c>
      <c r="I34" s="99">
        <v>98</v>
      </c>
      <c r="J34" s="99">
        <v>911</v>
      </c>
      <c r="K34" s="99">
        <v>875</v>
      </c>
      <c r="L34" s="99">
        <v>1580</v>
      </c>
      <c r="M34" s="99">
        <v>680</v>
      </c>
      <c r="N34" s="99">
        <v>356</v>
      </c>
      <c r="O34" s="99">
        <v>147</v>
      </c>
      <c r="P34" s="159">
        <v>147</v>
      </c>
      <c r="Q34" s="99">
        <v>13</v>
      </c>
      <c r="R34" s="99">
        <v>39</v>
      </c>
      <c r="S34" s="99">
        <v>37</v>
      </c>
      <c r="T34" s="99">
        <v>26</v>
      </c>
      <c r="U34" s="99" t="s">
        <v>574</v>
      </c>
      <c r="V34" s="99">
        <v>24</v>
      </c>
      <c r="W34" s="99">
        <v>29</v>
      </c>
      <c r="X34" s="99">
        <v>89</v>
      </c>
      <c r="Y34" s="99">
        <v>105</v>
      </c>
      <c r="Z34" s="99">
        <v>52</v>
      </c>
      <c r="AA34" s="99" t="s">
        <v>574</v>
      </c>
      <c r="AB34" s="99" t="s">
        <v>574</v>
      </c>
      <c r="AC34" s="99" t="s">
        <v>574</v>
      </c>
      <c r="AD34" s="98" t="s">
        <v>333</v>
      </c>
      <c r="AE34" s="100">
        <v>0.20956797104727437</v>
      </c>
      <c r="AF34" s="100">
        <v>0.1</v>
      </c>
      <c r="AG34" s="98">
        <v>576.7925808640579</v>
      </c>
      <c r="AH34" s="98">
        <v>192.26419362135263</v>
      </c>
      <c r="AI34" s="100">
        <v>0.011000000000000001</v>
      </c>
      <c r="AJ34" s="100">
        <v>0.760434</v>
      </c>
      <c r="AK34" s="100">
        <v>0.75431</v>
      </c>
      <c r="AL34" s="100">
        <v>0.728782</v>
      </c>
      <c r="AM34" s="100">
        <v>0.565724</v>
      </c>
      <c r="AN34" s="100">
        <v>0.589404</v>
      </c>
      <c r="AO34" s="98">
        <v>1662.5197919022846</v>
      </c>
      <c r="AP34" s="158">
        <v>0.7940857697</v>
      </c>
      <c r="AQ34" s="100">
        <v>0.08843537414965986</v>
      </c>
      <c r="AR34" s="100">
        <v>0.3333333333333333</v>
      </c>
      <c r="AS34" s="98">
        <v>418.45736258764987</v>
      </c>
      <c r="AT34" s="98">
        <v>294.05111965618636</v>
      </c>
      <c r="AU34" s="98" t="s">
        <v>574</v>
      </c>
      <c r="AV34" s="98">
        <v>271.43180275955666</v>
      </c>
      <c r="AW34" s="98">
        <v>327.98009500113096</v>
      </c>
      <c r="AX34" s="98">
        <v>1006.5596019000226</v>
      </c>
      <c r="AY34" s="98">
        <v>1187.5141370730603</v>
      </c>
      <c r="AZ34" s="98">
        <v>588.1022393123727</v>
      </c>
      <c r="BA34" s="100" t="s">
        <v>574</v>
      </c>
      <c r="BB34" s="100" t="s">
        <v>574</v>
      </c>
      <c r="BC34" s="100" t="s">
        <v>574</v>
      </c>
      <c r="BD34" s="158">
        <v>0.6709082794</v>
      </c>
      <c r="BE34" s="158">
        <v>0.9333293915</v>
      </c>
      <c r="BF34" s="162">
        <v>1198</v>
      </c>
      <c r="BG34" s="162">
        <v>1160</v>
      </c>
      <c r="BH34" s="162">
        <v>2168</v>
      </c>
      <c r="BI34" s="162">
        <v>1202</v>
      </c>
      <c r="BJ34" s="162">
        <v>604</v>
      </c>
      <c r="BK34" s="97"/>
      <c r="BL34" s="97"/>
      <c r="BM34" s="97"/>
      <c r="BN34" s="97"/>
    </row>
    <row r="35" spans="1:66" ht="12.75">
      <c r="A35" s="79" t="s">
        <v>549</v>
      </c>
      <c r="B35" s="79" t="s">
        <v>315</v>
      </c>
      <c r="C35" s="79" t="s">
        <v>198</v>
      </c>
      <c r="D35" s="99">
        <v>11126</v>
      </c>
      <c r="E35" s="99">
        <v>2852</v>
      </c>
      <c r="F35" s="99" t="s">
        <v>356</v>
      </c>
      <c r="G35" s="99">
        <v>63</v>
      </c>
      <c r="H35" s="99">
        <v>32</v>
      </c>
      <c r="I35" s="99">
        <v>216</v>
      </c>
      <c r="J35" s="99">
        <v>1433</v>
      </c>
      <c r="K35" s="99">
        <v>1228</v>
      </c>
      <c r="L35" s="99">
        <v>2291</v>
      </c>
      <c r="M35" s="99">
        <v>1133</v>
      </c>
      <c r="N35" s="99">
        <v>605</v>
      </c>
      <c r="O35" s="99">
        <v>215</v>
      </c>
      <c r="P35" s="159">
        <v>215</v>
      </c>
      <c r="Q35" s="99">
        <v>25</v>
      </c>
      <c r="R35" s="99">
        <v>69</v>
      </c>
      <c r="S35" s="99">
        <v>55</v>
      </c>
      <c r="T35" s="99">
        <v>54</v>
      </c>
      <c r="U35" s="99">
        <v>8</v>
      </c>
      <c r="V35" s="99">
        <v>26</v>
      </c>
      <c r="W35" s="99">
        <v>65</v>
      </c>
      <c r="X35" s="99">
        <v>92</v>
      </c>
      <c r="Y35" s="99">
        <v>181</v>
      </c>
      <c r="Z35" s="99">
        <v>74</v>
      </c>
      <c r="AA35" s="99" t="s">
        <v>574</v>
      </c>
      <c r="AB35" s="99" t="s">
        <v>574</v>
      </c>
      <c r="AC35" s="99" t="s">
        <v>574</v>
      </c>
      <c r="AD35" s="98" t="s">
        <v>333</v>
      </c>
      <c r="AE35" s="100">
        <v>0.2563365090778357</v>
      </c>
      <c r="AF35" s="100">
        <v>0.06</v>
      </c>
      <c r="AG35" s="98">
        <v>566.2412367427647</v>
      </c>
      <c r="AH35" s="98">
        <v>287.6145964407694</v>
      </c>
      <c r="AI35" s="100">
        <v>0.019</v>
      </c>
      <c r="AJ35" s="100">
        <v>0.813742</v>
      </c>
      <c r="AK35" s="100">
        <v>0.813784</v>
      </c>
      <c r="AL35" s="100">
        <v>0.86945</v>
      </c>
      <c r="AM35" s="100">
        <v>0.634734</v>
      </c>
      <c r="AN35" s="100">
        <v>0.6663</v>
      </c>
      <c r="AO35" s="98">
        <v>1932.4105698364192</v>
      </c>
      <c r="AP35" s="158">
        <v>0.8135583496</v>
      </c>
      <c r="AQ35" s="100">
        <v>0.11627906976744186</v>
      </c>
      <c r="AR35" s="100">
        <v>0.36231884057971014</v>
      </c>
      <c r="AS35" s="98">
        <v>494.33758763257237</v>
      </c>
      <c r="AT35" s="98">
        <v>485.3496314937983</v>
      </c>
      <c r="AU35" s="98">
        <v>71.90364911019235</v>
      </c>
      <c r="AV35" s="98">
        <v>233.6868596081251</v>
      </c>
      <c r="AW35" s="98">
        <v>584.2171490203128</v>
      </c>
      <c r="AX35" s="98">
        <v>826.8919647672119</v>
      </c>
      <c r="AY35" s="98">
        <v>1626.8200611181016</v>
      </c>
      <c r="AZ35" s="98">
        <v>665.1087542692792</v>
      </c>
      <c r="BA35" s="100" t="s">
        <v>574</v>
      </c>
      <c r="BB35" s="100" t="s">
        <v>574</v>
      </c>
      <c r="BC35" s="100" t="s">
        <v>574</v>
      </c>
      <c r="BD35" s="158">
        <v>0.7084384155</v>
      </c>
      <c r="BE35" s="158">
        <v>0.9298806000000001</v>
      </c>
      <c r="BF35" s="162">
        <v>1761</v>
      </c>
      <c r="BG35" s="162">
        <v>1509</v>
      </c>
      <c r="BH35" s="162">
        <v>2635</v>
      </c>
      <c r="BI35" s="162">
        <v>1785</v>
      </c>
      <c r="BJ35" s="162">
        <v>908</v>
      </c>
      <c r="BK35" s="97"/>
      <c r="BL35" s="97"/>
      <c r="BM35" s="97"/>
      <c r="BN35" s="97"/>
    </row>
    <row r="36" spans="1:66" ht="12.75">
      <c r="A36" s="79" t="s">
        <v>529</v>
      </c>
      <c r="B36" s="79" t="s">
        <v>293</v>
      </c>
      <c r="C36" s="79" t="s">
        <v>198</v>
      </c>
      <c r="D36" s="99">
        <v>13075</v>
      </c>
      <c r="E36" s="99">
        <v>2805</v>
      </c>
      <c r="F36" s="99" t="s">
        <v>354</v>
      </c>
      <c r="G36" s="99">
        <v>78</v>
      </c>
      <c r="H36" s="99">
        <v>44</v>
      </c>
      <c r="I36" s="99">
        <v>257</v>
      </c>
      <c r="J36" s="99">
        <v>1451</v>
      </c>
      <c r="K36" s="99">
        <v>707</v>
      </c>
      <c r="L36" s="99">
        <v>2530</v>
      </c>
      <c r="M36" s="99">
        <v>1170</v>
      </c>
      <c r="N36" s="99">
        <v>637</v>
      </c>
      <c r="O36" s="99">
        <v>246</v>
      </c>
      <c r="P36" s="159">
        <v>246</v>
      </c>
      <c r="Q36" s="99">
        <v>43</v>
      </c>
      <c r="R36" s="99">
        <v>78</v>
      </c>
      <c r="S36" s="99">
        <v>65</v>
      </c>
      <c r="T36" s="99">
        <v>30</v>
      </c>
      <c r="U36" s="99">
        <v>9</v>
      </c>
      <c r="V36" s="99">
        <v>28</v>
      </c>
      <c r="W36" s="99">
        <v>53</v>
      </c>
      <c r="X36" s="99">
        <v>96</v>
      </c>
      <c r="Y36" s="99">
        <v>182</v>
      </c>
      <c r="Z36" s="99">
        <v>89</v>
      </c>
      <c r="AA36" s="99" t="s">
        <v>574</v>
      </c>
      <c r="AB36" s="99" t="s">
        <v>574</v>
      </c>
      <c r="AC36" s="99" t="s">
        <v>574</v>
      </c>
      <c r="AD36" s="98" t="s">
        <v>333</v>
      </c>
      <c r="AE36" s="100">
        <v>0.21453154875717018</v>
      </c>
      <c r="AF36" s="100">
        <v>0.09</v>
      </c>
      <c r="AG36" s="98">
        <v>596.5583173996176</v>
      </c>
      <c r="AH36" s="98">
        <v>336.5200764818356</v>
      </c>
      <c r="AI36" s="100">
        <v>0.02</v>
      </c>
      <c r="AJ36" s="100">
        <v>0.778016</v>
      </c>
      <c r="AK36" s="100">
        <v>0.81078</v>
      </c>
      <c r="AL36" s="100">
        <v>0.809341</v>
      </c>
      <c r="AM36" s="100">
        <v>0.624333</v>
      </c>
      <c r="AN36" s="100">
        <v>0.658738</v>
      </c>
      <c r="AO36" s="98">
        <v>1881.453154875717</v>
      </c>
      <c r="AP36" s="158">
        <v>0.8744532776</v>
      </c>
      <c r="AQ36" s="100">
        <v>0.17479674796747968</v>
      </c>
      <c r="AR36" s="100">
        <v>0.5512820512820513</v>
      </c>
      <c r="AS36" s="98">
        <v>497.131931166348</v>
      </c>
      <c r="AT36" s="98">
        <v>229.44550669216062</v>
      </c>
      <c r="AU36" s="98">
        <v>68.83365200764818</v>
      </c>
      <c r="AV36" s="98">
        <v>214.1491395793499</v>
      </c>
      <c r="AW36" s="98">
        <v>405.35372848948373</v>
      </c>
      <c r="AX36" s="98">
        <v>734.2256214149139</v>
      </c>
      <c r="AY36" s="98">
        <v>1391.9694072657744</v>
      </c>
      <c r="AZ36" s="98">
        <v>680.6883365200765</v>
      </c>
      <c r="BA36" s="101" t="s">
        <v>574</v>
      </c>
      <c r="BB36" s="101" t="s">
        <v>574</v>
      </c>
      <c r="BC36" s="101" t="s">
        <v>574</v>
      </c>
      <c r="BD36" s="158">
        <v>0.7685839844</v>
      </c>
      <c r="BE36" s="158">
        <v>0.9908309174</v>
      </c>
      <c r="BF36" s="162">
        <v>1865</v>
      </c>
      <c r="BG36" s="162">
        <v>872</v>
      </c>
      <c r="BH36" s="162">
        <v>3126</v>
      </c>
      <c r="BI36" s="162">
        <v>1874</v>
      </c>
      <c r="BJ36" s="162">
        <v>967</v>
      </c>
      <c r="BK36" s="97"/>
      <c r="BL36" s="97"/>
      <c r="BM36" s="97"/>
      <c r="BN36" s="97"/>
    </row>
    <row r="37" spans="1:66" ht="12.75">
      <c r="A37" s="79" t="s">
        <v>565</v>
      </c>
      <c r="B37" s="79" t="s">
        <v>330</v>
      </c>
      <c r="C37" s="79" t="s">
        <v>198</v>
      </c>
      <c r="D37" s="99">
        <v>2382</v>
      </c>
      <c r="E37" s="99">
        <v>444</v>
      </c>
      <c r="F37" s="99" t="s">
        <v>354</v>
      </c>
      <c r="G37" s="99">
        <v>12</v>
      </c>
      <c r="H37" s="99" t="s">
        <v>574</v>
      </c>
      <c r="I37" s="99">
        <v>42</v>
      </c>
      <c r="J37" s="99">
        <v>236</v>
      </c>
      <c r="K37" s="99" t="s">
        <v>574</v>
      </c>
      <c r="L37" s="99">
        <v>425</v>
      </c>
      <c r="M37" s="99">
        <v>157</v>
      </c>
      <c r="N37" s="99">
        <v>77</v>
      </c>
      <c r="O37" s="99">
        <v>11</v>
      </c>
      <c r="P37" s="159">
        <v>11</v>
      </c>
      <c r="Q37" s="99" t="s">
        <v>574</v>
      </c>
      <c r="R37" s="99">
        <v>9</v>
      </c>
      <c r="S37" s="99" t="s">
        <v>574</v>
      </c>
      <c r="T37" s="99" t="s">
        <v>574</v>
      </c>
      <c r="U37" s="99" t="s">
        <v>574</v>
      </c>
      <c r="V37" s="99" t="s">
        <v>574</v>
      </c>
      <c r="W37" s="99">
        <v>7</v>
      </c>
      <c r="X37" s="99">
        <v>9</v>
      </c>
      <c r="Y37" s="99">
        <v>36</v>
      </c>
      <c r="Z37" s="99">
        <v>16</v>
      </c>
      <c r="AA37" s="99" t="s">
        <v>574</v>
      </c>
      <c r="AB37" s="99" t="s">
        <v>574</v>
      </c>
      <c r="AC37" s="99" t="s">
        <v>574</v>
      </c>
      <c r="AD37" s="98" t="s">
        <v>333</v>
      </c>
      <c r="AE37" s="100">
        <v>0.18639798488664988</v>
      </c>
      <c r="AF37" s="100">
        <v>0.1</v>
      </c>
      <c r="AG37" s="98">
        <v>503.77833753148616</v>
      </c>
      <c r="AH37" s="98" t="s">
        <v>574</v>
      </c>
      <c r="AI37" s="100">
        <v>0.018000000000000002</v>
      </c>
      <c r="AJ37" s="100">
        <v>0.753994</v>
      </c>
      <c r="AK37" s="100" t="s">
        <v>574</v>
      </c>
      <c r="AL37" s="100">
        <v>0.800377</v>
      </c>
      <c r="AM37" s="100">
        <v>0.526846</v>
      </c>
      <c r="AN37" s="100">
        <v>0.55</v>
      </c>
      <c r="AO37" s="98">
        <v>461.7968094038623</v>
      </c>
      <c r="AP37" s="158">
        <v>0.2350362206</v>
      </c>
      <c r="AQ37" s="100" t="s">
        <v>574</v>
      </c>
      <c r="AR37" s="100" t="s">
        <v>574</v>
      </c>
      <c r="AS37" s="98" t="s">
        <v>574</v>
      </c>
      <c r="AT37" s="98" t="s">
        <v>574</v>
      </c>
      <c r="AU37" s="98" t="s">
        <v>574</v>
      </c>
      <c r="AV37" s="98" t="s">
        <v>574</v>
      </c>
      <c r="AW37" s="98">
        <v>293.8706968933669</v>
      </c>
      <c r="AX37" s="98">
        <v>377.8337531486146</v>
      </c>
      <c r="AY37" s="98">
        <v>1511.3350125944585</v>
      </c>
      <c r="AZ37" s="98">
        <v>671.7044500419815</v>
      </c>
      <c r="BA37" s="100" t="s">
        <v>574</v>
      </c>
      <c r="BB37" s="100" t="s">
        <v>574</v>
      </c>
      <c r="BC37" s="100" t="s">
        <v>574</v>
      </c>
      <c r="BD37" s="158">
        <v>0.11732923509999998</v>
      </c>
      <c r="BE37" s="158">
        <v>0.4205447006</v>
      </c>
      <c r="BF37" s="162">
        <v>313</v>
      </c>
      <c r="BG37" s="162" t="s">
        <v>574</v>
      </c>
      <c r="BH37" s="162">
        <v>531</v>
      </c>
      <c r="BI37" s="162">
        <v>298</v>
      </c>
      <c r="BJ37" s="162">
        <v>140</v>
      </c>
      <c r="BK37" s="97"/>
      <c r="BL37" s="97"/>
      <c r="BM37" s="97"/>
      <c r="BN37" s="97"/>
    </row>
    <row r="38" spans="1:66" ht="12.75">
      <c r="A38" s="79" t="s">
        <v>552</v>
      </c>
      <c r="B38" s="79" t="s">
        <v>318</v>
      </c>
      <c r="C38" s="79" t="s">
        <v>198</v>
      </c>
      <c r="D38" s="99">
        <v>16305</v>
      </c>
      <c r="E38" s="99">
        <v>3219</v>
      </c>
      <c r="F38" s="99" t="s">
        <v>356</v>
      </c>
      <c r="G38" s="99">
        <v>93</v>
      </c>
      <c r="H38" s="99">
        <v>49</v>
      </c>
      <c r="I38" s="99">
        <v>316</v>
      </c>
      <c r="J38" s="99">
        <v>1841</v>
      </c>
      <c r="K38" s="99">
        <v>1770</v>
      </c>
      <c r="L38" s="99">
        <v>3304</v>
      </c>
      <c r="M38" s="99">
        <v>1405</v>
      </c>
      <c r="N38" s="99">
        <v>771</v>
      </c>
      <c r="O38" s="99">
        <v>408</v>
      </c>
      <c r="P38" s="159">
        <v>408</v>
      </c>
      <c r="Q38" s="99">
        <v>33</v>
      </c>
      <c r="R38" s="99">
        <v>83</v>
      </c>
      <c r="S38" s="99">
        <v>81</v>
      </c>
      <c r="T38" s="99">
        <v>90</v>
      </c>
      <c r="U38" s="99">
        <v>15</v>
      </c>
      <c r="V38" s="99">
        <v>51</v>
      </c>
      <c r="W38" s="99">
        <v>75</v>
      </c>
      <c r="X38" s="99">
        <v>194</v>
      </c>
      <c r="Y38" s="99">
        <v>261</v>
      </c>
      <c r="Z38" s="99">
        <v>133</v>
      </c>
      <c r="AA38" s="99" t="s">
        <v>574</v>
      </c>
      <c r="AB38" s="99" t="s">
        <v>574</v>
      </c>
      <c r="AC38" s="99" t="s">
        <v>574</v>
      </c>
      <c r="AD38" s="98" t="s">
        <v>333</v>
      </c>
      <c r="AE38" s="100">
        <v>0.19742410303587857</v>
      </c>
      <c r="AF38" s="100">
        <v>0.07</v>
      </c>
      <c r="AG38" s="98">
        <v>570.3771849126035</v>
      </c>
      <c r="AH38" s="98">
        <v>300.5213124808341</v>
      </c>
      <c r="AI38" s="100">
        <v>0.019</v>
      </c>
      <c r="AJ38" s="100">
        <v>0.814962</v>
      </c>
      <c r="AK38" s="100">
        <v>0.811554</v>
      </c>
      <c r="AL38" s="100">
        <v>0.822914</v>
      </c>
      <c r="AM38" s="100">
        <v>0.632313</v>
      </c>
      <c r="AN38" s="100">
        <v>0.663511</v>
      </c>
      <c r="AO38" s="98">
        <v>2502.29990800368</v>
      </c>
      <c r="AP38" s="158">
        <v>1.219851379</v>
      </c>
      <c r="AQ38" s="100">
        <v>0.08088235294117647</v>
      </c>
      <c r="AR38" s="100">
        <v>0.39759036144578314</v>
      </c>
      <c r="AS38" s="98">
        <v>496.7801287948482</v>
      </c>
      <c r="AT38" s="98">
        <v>551.9779208831646</v>
      </c>
      <c r="AU38" s="98">
        <v>91.99632014719411</v>
      </c>
      <c r="AV38" s="98">
        <v>312.78748850046</v>
      </c>
      <c r="AW38" s="98">
        <v>459.9816007359706</v>
      </c>
      <c r="AX38" s="98">
        <v>1189.8190739037104</v>
      </c>
      <c r="AY38" s="98">
        <v>1600.7359705611775</v>
      </c>
      <c r="AZ38" s="98">
        <v>815.7007053051211</v>
      </c>
      <c r="BA38" s="100" t="s">
        <v>574</v>
      </c>
      <c r="BB38" s="100" t="s">
        <v>574</v>
      </c>
      <c r="BC38" s="100" t="s">
        <v>574</v>
      </c>
      <c r="BD38" s="158">
        <v>1.104340134</v>
      </c>
      <c r="BE38" s="158">
        <v>1.344159546</v>
      </c>
      <c r="BF38" s="162">
        <v>2259</v>
      </c>
      <c r="BG38" s="162">
        <v>2181</v>
      </c>
      <c r="BH38" s="162">
        <v>4015</v>
      </c>
      <c r="BI38" s="162">
        <v>2222</v>
      </c>
      <c r="BJ38" s="162">
        <v>1162</v>
      </c>
      <c r="BK38" s="97"/>
      <c r="BL38" s="97"/>
      <c r="BM38" s="97"/>
      <c r="BN38" s="97"/>
    </row>
    <row r="39" spans="1:66" ht="12.75">
      <c r="A39" s="79" t="s">
        <v>530</v>
      </c>
      <c r="B39" s="79" t="s">
        <v>294</v>
      </c>
      <c r="C39" s="79" t="s">
        <v>198</v>
      </c>
      <c r="D39" s="99">
        <v>12920</v>
      </c>
      <c r="E39" s="99">
        <v>2497</v>
      </c>
      <c r="F39" s="99" t="s">
        <v>354</v>
      </c>
      <c r="G39" s="99">
        <v>67</v>
      </c>
      <c r="H39" s="99">
        <v>36</v>
      </c>
      <c r="I39" s="99">
        <v>256</v>
      </c>
      <c r="J39" s="99">
        <v>1136</v>
      </c>
      <c r="K39" s="99">
        <v>12</v>
      </c>
      <c r="L39" s="99">
        <v>2472</v>
      </c>
      <c r="M39" s="99">
        <v>923</v>
      </c>
      <c r="N39" s="99">
        <v>496</v>
      </c>
      <c r="O39" s="99">
        <v>188</v>
      </c>
      <c r="P39" s="159">
        <v>188</v>
      </c>
      <c r="Q39" s="99">
        <v>23</v>
      </c>
      <c r="R39" s="99">
        <v>56</v>
      </c>
      <c r="S39" s="99">
        <v>46</v>
      </c>
      <c r="T39" s="99">
        <v>31</v>
      </c>
      <c r="U39" s="99">
        <v>7</v>
      </c>
      <c r="V39" s="99">
        <v>38</v>
      </c>
      <c r="W39" s="99">
        <v>75</v>
      </c>
      <c r="X39" s="99">
        <v>117</v>
      </c>
      <c r="Y39" s="99">
        <v>165</v>
      </c>
      <c r="Z39" s="99">
        <v>97</v>
      </c>
      <c r="AA39" s="99" t="s">
        <v>574</v>
      </c>
      <c r="AB39" s="99" t="s">
        <v>574</v>
      </c>
      <c r="AC39" s="99" t="s">
        <v>574</v>
      </c>
      <c r="AD39" s="98" t="s">
        <v>333</v>
      </c>
      <c r="AE39" s="100">
        <v>0.19326625386996904</v>
      </c>
      <c r="AF39" s="100">
        <v>0.1</v>
      </c>
      <c r="AG39" s="98">
        <v>518.5758513931888</v>
      </c>
      <c r="AH39" s="98">
        <v>278.6377708978328</v>
      </c>
      <c r="AI39" s="100">
        <v>0.02</v>
      </c>
      <c r="AJ39" s="100">
        <v>0.693106</v>
      </c>
      <c r="AK39" s="100">
        <v>0.631579</v>
      </c>
      <c r="AL39" s="100">
        <v>0.78676</v>
      </c>
      <c r="AM39" s="100">
        <v>0.593569</v>
      </c>
      <c r="AN39" s="100">
        <v>0.618454</v>
      </c>
      <c r="AO39" s="98">
        <v>1455.108359133127</v>
      </c>
      <c r="AP39" s="158">
        <v>0.7189691161999999</v>
      </c>
      <c r="AQ39" s="100">
        <v>0.12234042553191489</v>
      </c>
      <c r="AR39" s="100">
        <v>0.4107142857142857</v>
      </c>
      <c r="AS39" s="98">
        <v>356.0371517027864</v>
      </c>
      <c r="AT39" s="98">
        <v>239.93808049535605</v>
      </c>
      <c r="AU39" s="98">
        <v>54.17956656346749</v>
      </c>
      <c r="AV39" s="98">
        <v>294.11764705882354</v>
      </c>
      <c r="AW39" s="98">
        <v>580.4953560371517</v>
      </c>
      <c r="AX39" s="98">
        <v>905.5727554179566</v>
      </c>
      <c r="AY39" s="98">
        <v>1277.0897832817338</v>
      </c>
      <c r="AZ39" s="98">
        <v>750.7739938080496</v>
      </c>
      <c r="BA39" s="100" t="s">
        <v>574</v>
      </c>
      <c r="BB39" s="100" t="s">
        <v>574</v>
      </c>
      <c r="BC39" s="100" t="s">
        <v>574</v>
      </c>
      <c r="BD39" s="158">
        <v>0.619864769</v>
      </c>
      <c r="BE39" s="158">
        <v>0.8294125366</v>
      </c>
      <c r="BF39" s="162">
        <v>1639</v>
      </c>
      <c r="BG39" s="162">
        <v>19</v>
      </c>
      <c r="BH39" s="162">
        <v>3142</v>
      </c>
      <c r="BI39" s="162">
        <v>1555</v>
      </c>
      <c r="BJ39" s="162">
        <v>802</v>
      </c>
      <c r="BK39" s="97"/>
      <c r="BL39" s="97"/>
      <c r="BM39" s="97"/>
      <c r="BN39" s="97"/>
    </row>
    <row r="40" spans="1:66" ht="12.75">
      <c r="A40" s="79" t="s">
        <v>526</v>
      </c>
      <c r="B40" s="79" t="s">
        <v>290</v>
      </c>
      <c r="C40" s="79" t="s">
        <v>198</v>
      </c>
      <c r="D40" s="99">
        <v>10006</v>
      </c>
      <c r="E40" s="99">
        <v>1579</v>
      </c>
      <c r="F40" s="99" t="s">
        <v>353</v>
      </c>
      <c r="G40" s="99">
        <v>44</v>
      </c>
      <c r="H40" s="99">
        <v>22</v>
      </c>
      <c r="I40" s="99">
        <v>149</v>
      </c>
      <c r="J40" s="99">
        <v>832</v>
      </c>
      <c r="K40" s="99">
        <v>10</v>
      </c>
      <c r="L40" s="99">
        <v>1775</v>
      </c>
      <c r="M40" s="99">
        <v>533</v>
      </c>
      <c r="N40" s="99">
        <v>288</v>
      </c>
      <c r="O40" s="99">
        <v>195</v>
      </c>
      <c r="P40" s="159">
        <v>195</v>
      </c>
      <c r="Q40" s="99">
        <v>19</v>
      </c>
      <c r="R40" s="99">
        <v>47</v>
      </c>
      <c r="S40" s="99">
        <v>50</v>
      </c>
      <c r="T40" s="99">
        <v>55</v>
      </c>
      <c r="U40" s="99" t="s">
        <v>574</v>
      </c>
      <c r="V40" s="99">
        <v>21</v>
      </c>
      <c r="W40" s="99">
        <v>60</v>
      </c>
      <c r="X40" s="99">
        <v>135</v>
      </c>
      <c r="Y40" s="99">
        <v>166</v>
      </c>
      <c r="Z40" s="99">
        <v>58</v>
      </c>
      <c r="AA40" s="99" t="s">
        <v>574</v>
      </c>
      <c r="AB40" s="99" t="s">
        <v>574</v>
      </c>
      <c r="AC40" s="99" t="s">
        <v>574</v>
      </c>
      <c r="AD40" s="98" t="s">
        <v>333</v>
      </c>
      <c r="AE40" s="100">
        <v>0.15780531680991405</v>
      </c>
      <c r="AF40" s="100">
        <v>0.17</v>
      </c>
      <c r="AG40" s="98">
        <v>439.736158305017</v>
      </c>
      <c r="AH40" s="98">
        <v>219.8680791525085</v>
      </c>
      <c r="AI40" s="100">
        <v>0.015</v>
      </c>
      <c r="AJ40" s="100">
        <v>0.697987</v>
      </c>
      <c r="AK40" s="100">
        <v>0.666667</v>
      </c>
      <c r="AL40" s="100">
        <v>0.734685</v>
      </c>
      <c r="AM40" s="100">
        <v>0.508103</v>
      </c>
      <c r="AN40" s="100">
        <v>0.537313</v>
      </c>
      <c r="AO40" s="98">
        <v>1948.8307015790526</v>
      </c>
      <c r="AP40" s="158">
        <v>1.074608536</v>
      </c>
      <c r="AQ40" s="100">
        <v>0.09743589743589744</v>
      </c>
      <c r="AR40" s="100">
        <v>0.40425531914893614</v>
      </c>
      <c r="AS40" s="98">
        <v>499.70017989206474</v>
      </c>
      <c r="AT40" s="98">
        <v>549.6701978812713</v>
      </c>
      <c r="AU40" s="98" t="s">
        <v>574</v>
      </c>
      <c r="AV40" s="98">
        <v>209.8740755546672</v>
      </c>
      <c r="AW40" s="98">
        <v>599.6402158704777</v>
      </c>
      <c r="AX40" s="98">
        <v>1349.190485708575</v>
      </c>
      <c r="AY40" s="98">
        <v>1659.0045972416551</v>
      </c>
      <c r="AZ40" s="98">
        <v>579.6522086747951</v>
      </c>
      <c r="BA40" s="100" t="s">
        <v>574</v>
      </c>
      <c r="BB40" s="100" t="s">
        <v>574</v>
      </c>
      <c r="BC40" s="100" t="s">
        <v>574</v>
      </c>
      <c r="BD40" s="158">
        <v>0.9290663146999999</v>
      </c>
      <c r="BE40" s="158">
        <v>1.2364833830000002</v>
      </c>
      <c r="BF40" s="162">
        <v>1192</v>
      </c>
      <c r="BG40" s="162">
        <v>15</v>
      </c>
      <c r="BH40" s="162">
        <v>2416</v>
      </c>
      <c r="BI40" s="162">
        <v>1049</v>
      </c>
      <c r="BJ40" s="162">
        <v>536</v>
      </c>
      <c r="BK40" s="97"/>
      <c r="BL40" s="97"/>
      <c r="BM40" s="97"/>
      <c r="BN40" s="97"/>
    </row>
    <row r="41" spans="1:66" ht="12.75">
      <c r="A41" s="79" t="s">
        <v>566</v>
      </c>
      <c r="B41" s="79" t="s">
        <v>331</v>
      </c>
      <c r="C41" s="79" t="s">
        <v>198</v>
      </c>
      <c r="D41" s="99">
        <v>4479</v>
      </c>
      <c r="E41" s="99">
        <v>610</v>
      </c>
      <c r="F41" s="99" t="s">
        <v>356</v>
      </c>
      <c r="G41" s="99">
        <v>15</v>
      </c>
      <c r="H41" s="99" t="s">
        <v>574</v>
      </c>
      <c r="I41" s="99">
        <v>88</v>
      </c>
      <c r="J41" s="99">
        <v>379</v>
      </c>
      <c r="K41" s="99" t="s">
        <v>574</v>
      </c>
      <c r="L41" s="99">
        <v>1009</v>
      </c>
      <c r="M41" s="99">
        <v>257</v>
      </c>
      <c r="N41" s="99">
        <v>143</v>
      </c>
      <c r="O41" s="99">
        <v>94</v>
      </c>
      <c r="P41" s="159">
        <v>94</v>
      </c>
      <c r="Q41" s="99">
        <v>6</v>
      </c>
      <c r="R41" s="99">
        <v>12</v>
      </c>
      <c r="S41" s="99">
        <v>28</v>
      </c>
      <c r="T41" s="99">
        <v>11</v>
      </c>
      <c r="U41" s="99" t="s">
        <v>574</v>
      </c>
      <c r="V41" s="99">
        <v>9</v>
      </c>
      <c r="W41" s="99">
        <v>21</v>
      </c>
      <c r="X41" s="99">
        <v>60</v>
      </c>
      <c r="Y41" s="99">
        <v>81</v>
      </c>
      <c r="Z41" s="99">
        <v>29</v>
      </c>
      <c r="AA41" s="99" t="s">
        <v>574</v>
      </c>
      <c r="AB41" s="99" t="s">
        <v>574</v>
      </c>
      <c r="AC41" s="99" t="s">
        <v>574</v>
      </c>
      <c r="AD41" s="98" t="s">
        <v>333</v>
      </c>
      <c r="AE41" s="100">
        <v>0.13619111408796605</v>
      </c>
      <c r="AF41" s="100">
        <v>0.07</v>
      </c>
      <c r="AG41" s="98">
        <v>334.8961821835231</v>
      </c>
      <c r="AH41" s="98" t="s">
        <v>574</v>
      </c>
      <c r="AI41" s="100">
        <v>0.02</v>
      </c>
      <c r="AJ41" s="100">
        <v>0.715094</v>
      </c>
      <c r="AK41" s="100" t="s">
        <v>574</v>
      </c>
      <c r="AL41" s="100">
        <v>0.860922</v>
      </c>
      <c r="AM41" s="100">
        <v>0.535417</v>
      </c>
      <c r="AN41" s="100">
        <v>0.565217</v>
      </c>
      <c r="AO41" s="98">
        <v>2098.6827416834117</v>
      </c>
      <c r="AP41" s="158">
        <v>1.170215225</v>
      </c>
      <c r="AQ41" s="100">
        <v>0.06382978723404255</v>
      </c>
      <c r="AR41" s="100">
        <v>0.5</v>
      </c>
      <c r="AS41" s="98">
        <v>625.1395400759098</v>
      </c>
      <c r="AT41" s="98">
        <v>245.59053360125029</v>
      </c>
      <c r="AU41" s="98" t="s">
        <v>574</v>
      </c>
      <c r="AV41" s="98">
        <v>200.93770931011386</v>
      </c>
      <c r="AW41" s="98">
        <v>468.85465505693236</v>
      </c>
      <c r="AX41" s="98">
        <v>1339.5847287340923</v>
      </c>
      <c r="AY41" s="98">
        <v>1808.4393837910247</v>
      </c>
      <c r="AZ41" s="98">
        <v>647.465952221478</v>
      </c>
      <c r="BA41" s="100" t="s">
        <v>574</v>
      </c>
      <c r="BB41" s="100" t="s">
        <v>574</v>
      </c>
      <c r="BC41" s="100" t="s">
        <v>574</v>
      </c>
      <c r="BD41" s="158">
        <v>0.9456529999</v>
      </c>
      <c r="BE41" s="158">
        <v>1.4320471190000001</v>
      </c>
      <c r="BF41" s="162">
        <v>530</v>
      </c>
      <c r="BG41" s="162" t="s">
        <v>574</v>
      </c>
      <c r="BH41" s="162">
        <v>1172</v>
      </c>
      <c r="BI41" s="162">
        <v>480</v>
      </c>
      <c r="BJ41" s="162">
        <v>253</v>
      </c>
      <c r="BK41" s="97"/>
      <c r="BL41" s="97"/>
      <c r="BM41" s="97"/>
      <c r="BN41" s="97"/>
    </row>
    <row r="42" spans="1:66" ht="12.75">
      <c r="A42" s="79" t="s">
        <v>519</v>
      </c>
      <c r="B42" s="79" t="s">
        <v>283</v>
      </c>
      <c r="C42" s="79" t="s">
        <v>198</v>
      </c>
      <c r="D42" s="99">
        <v>9492</v>
      </c>
      <c r="E42" s="99">
        <v>2305</v>
      </c>
      <c r="F42" s="99" t="s">
        <v>356</v>
      </c>
      <c r="G42" s="99">
        <v>53</v>
      </c>
      <c r="H42" s="99">
        <v>23</v>
      </c>
      <c r="I42" s="99">
        <v>271</v>
      </c>
      <c r="J42" s="99">
        <v>1240</v>
      </c>
      <c r="K42" s="99" t="s">
        <v>574</v>
      </c>
      <c r="L42" s="99">
        <v>1837</v>
      </c>
      <c r="M42" s="99">
        <v>939</v>
      </c>
      <c r="N42" s="99">
        <v>517</v>
      </c>
      <c r="O42" s="99">
        <v>163</v>
      </c>
      <c r="P42" s="159">
        <v>163</v>
      </c>
      <c r="Q42" s="99">
        <v>23</v>
      </c>
      <c r="R42" s="99">
        <v>64</v>
      </c>
      <c r="S42" s="99">
        <v>29</v>
      </c>
      <c r="T42" s="99">
        <v>35</v>
      </c>
      <c r="U42" s="99" t="s">
        <v>574</v>
      </c>
      <c r="V42" s="99">
        <v>40</v>
      </c>
      <c r="W42" s="99">
        <v>55</v>
      </c>
      <c r="X42" s="99">
        <v>125</v>
      </c>
      <c r="Y42" s="99">
        <v>147</v>
      </c>
      <c r="Z42" s="99">
        <v>87</v>
      </c>
      <c r="AA42" s="99" t="s">
        <v>574</v>
      </c>
      <c r="AB42" s="99" t="s">
        <v>574</v>
      </c>
      <c r="AC42" s="99" t="s">
        <v>574</v>
      </c>
      <c r="AD42" s="98" t="s">
        <v>333</v>
      </c>
      <c r="AE42" s="100">
        <v>0.2428360724820902</v>
      </c>
      <c r="AF42" s="100">
        <v>0.08</v>
      </c>
      <c r="AG42" s="98">
        <v>558.3649388959124</v>
      </c>
      <c r="AH42" s="98">
        <v>242.30931310577327</v>
      </c>
      <c r="AI42" s="100">
        <v>0.028999999999999998</v>
      </c>
      <c r="AJ42" s="100">
        <v>0.831099</v>
      </c>
      <c r="AK42" s="100" t="s">
        <v>574</v>
      </c>
      <c r="AL42" s="100">
        <v>0.813552</v>
      </c>
      <c r="AM42" s="100">
        <v>0.626</v>
      </c>
      <c r="AN42" s="100">
        <v>0.671429</v>
      </c>
      <c r="AO42" s="98">
        <v>1717.235566793089</v>
      </c>
      <c r="AP42" s="158">
        <v>0.7652323914</v>
      </c>
      <c r="AQ42" s="100">
        <v>0.1411042944785276</v>
      </c>
      <c r="AR42" s="100">
        <v>0.359375</v>
      </c>
      <c r="AS42" s="98">
        <v>305.5204382638011</v>
      </c>
      <c r="AT42" s="98">
        <v>368.7315634218289</v>
      </c>
      <c r="AU42" s="98" t="s">
        <v>574</v>
      </c>
      <c r="AV42" s="98">
        <v>421.40750105351873</v>
      </c>
      <c r="AW42" s="98">
        <v>579.4353139485883</v>
      </c>
      <c r="AX42" s="98">
        <v>1316.898440792246</v>
      </c>
      <c r="AY42" s="98">
        <v>1548.6725663716813</v>
      </c>
      <c r="AZ42" s="98">
        <v>916.5613147914033</v>
      </c>
      <c r="BA42" s="100" t="s">
        <v>574</v>
      </c>
      <c r="BB42" s="100" t="s">
        <v>574</v>
      </c>
      <c r="BC42" s="100" t="s">
        <v>574</v>
      </c>
      <c r="BD42" s="158">
        <v>0.6522645569</v>
      </c>
      <c r="BE42" s="158">
        <v>0.8921441649999999</v>
      </c>
      <c r="BF42" s="162">
        <v>1492</v>
      </c>
      <c r="BG42" s="162" t="s">
        <v>574</v>
      </c>
      <c r="BH42" s="162">
        <v>2258</v>
      </c>
      <c r="BI42" s="162">
        <v>1500</v>
      </c>
      <c r="BJ42" s="162">
        <v>770</v>
      </c>
      <c r="BK42" s="97"/>
      <c r="BL42" s="97"/>
      <c r="BM42" s="97"/>
      <c r="BN42" s="97"/>
    </row>
    <row r="43" spans="1:66" ht="12.75">
      <c r="A43" s="79" t="s">
        <v>522</v>
      </c>
      <c r="B43" s="79" t="s">
        <v>286</v>
      </c>
      <c r="C43" s="79" t="s">
        <v>198</v>
      </c>
      <c r="D43" s="99">
        <v>11307</v>
      </c>
      <c r="E43" s="99">
        <v>1392</v>
      </c>
      <c r="F43" s="99" t="s">
        <v>355</v>
      </c>
      <c r="G43" s="99">
        <v>36</v>
      </c>
      <c r="H43" s="99">
        <v>29</v>
      </c>
      <c r="I43" s="99">
        <v>153</v>
      </c>
      <c r="J43" s="99">
        <v>791</v>
      </c>
      <c r="K43" s="99">
        <v>774</v>
      </c>
      <c r="L43" s="99">
        <v>1828</v>
      </c>
      <c r="M43" s="99">
        <v>459</v>
      </c>
      <c r="N43" s="99">
        <v>259</v>
      </c>
      <c r="O43" s="99">
        <v>164</v>
      </c>
      <c r="P43" s="159">
        <v>164</v>
      </c>
      <c r="Q43" s="99">
        <v>13</v>
      </c>
      <c r="R43" s="99">
        <v>38</v>
      </c>
      <c r="S43" s="99">
        <v>24</v>
      </c>
      <c r="T43" s="99">
        <v>29</v>
      </c>
      <c r="U43" s="99">
        <v>8</v>
      </c>
      <c r="V43" s="99">
        <v>23</v>
      </c>
      <c r="W43" s="99">
        <v>39</v>
      </c>
      <c r="X43" s="99">
        <v>113</v>
      </c>
      <c r="Y43" s="99">
        <v>143</v>
      </c>
      <c r="Z43" s="99">
        <v>68</v>
      </c>
      <c r="AA43" s="99" t="s">
        <v>574</v>
      </c>
      <c r="AB43" s="99" t="s">
        <v>574</v>
      </c>
      <c r="AC43" s="99" t="s">
        <v>574</v>
      </c>
      <c r="AD43" s="98" t="s">
        <v>333</v>
      </c>
      <c r="AE43" s="100">
        <v>0.12310957813743699</v>
      </c>
      <c r="AF43" s="100">
        <v>0.17</v>
      </c>
      <c r="AG43" s="98">
        <v>318.3868400106129</v>
      </c>
      <c r="AH43" s="98">
        <v>256.47828778632703</v>
      </c>
      <c r="AI43" s="100">
        <v>0.013999999999999999</v>
      </c>
      <c r="AJ43" s="100">
        <v>0.721057</v>
      </c>
      <c r="AK43" s="100">
        <v>0.723364</v>
      </c>
      <c r="AL43" s="100">
        <v>0.673793</v>
      </c>
      <c r="AM43" s="100">
        <v>0.478624</v>
      </c>
      <c r="AN43" s="100">
        <v>0.508841</v>
      </c>
      <c r="AO43" s="98">
        <v>1450.4289378261253</v>
      </c>
      <c r="AP43" s="158">
        <v>0.9208673859</v>
      </c>
      <c r="AQ43" s="100">
        <v>0.07926829268292683</v>
      </c>
      <c r="AR43" s="100">
        <v>0.34210526315789475</v>
      </c>
      <c r="AS43" s="98">
        <v>212.2578933404086</v>
      </c>
      <c r="AT43" s="98">
        <v>256.47828778632703</v>
      </c>
      <c r="AU43" s="98">
        <v>70.75263111346953</v>
      </c>
      <c r="AV43" s="98">
        <v>203.4138144512249</v>
      </c>
      <c r="AW43" s="98">
        <v>344.91907667816395</v>
      </c>
      <c r="AX43" s="98">
        <v>999.3809144777572</v>
      </c>
      <c r="AY43" s="98">
        <v>1264.7032811532679</v>
      </c>
      <c r="AZ43" s="98">
        <v>601.397364464491</v>
      </c>
      <c r="BA43" s="100" t="s">
        <v>574</v>
      </c>
      <c r="BB43" s="100" t="s">
        <v>574</v>
      </c>
      <c r="BC43" s="100" t="s">
        <v>574</v>
      </c>
      <c r="BD43" s="158">
        <v>0.7853221893</v>
      </c>
      <c r="BE43" s="158">
        <v>1.07308876</v>
      </c>
      <c r="BF43" s="162">
        <v>1097</v>
      </c>
      <c r="BG43" s="162">
        <v>1070</v>
      </c>
      <c r="BH43" s="162">
        <v>2713</v>
      </c>
      <c r="BI43" s="162">
        <v>959</v>
      </c>
      <c r="BJ43" s="162">
        <v>509</v>
      </c>
      <c r="BK43" s="97"/>
      <c r="BL43" s="97"/>
      <c r="BM43" s="97"/>
      <c r="BN43" s="97"/>
    </row>
    <row r="44" spans="1:66" ht="12.75">
      <c r="A44" s="79" t="s">
        <v>551</v>
      </c>
      <c r="B44" s="79" t="s">
        <v>317</v>
      </c>
      <c r="C44" s="79" t="s">
        <v>198</v>
      </c>
      <c r="D44" s="99">
        <v>11655</v>
      </c>
      <c r="E44" s="99">
        <v>2656</v>
      </c>
      <c r="F44" s="99" t="s">
        <v>356</v>
      </c>
      <c r="G44" s="99">
        <v>71</v>
      </c>
      <c r="H44" s="99">
        <v>40</v>
      </c>
      <c r="I44" s="99">
        <v>178</v>
      </c>
      <c r="J44" s="99">
        <v>1458</v>
      </c>
      <c r="K44" s="99">
        <v>18</v>
      </c>
      <c r="L44" s="99">
        <v>2264</v>
      </c>
      <c r="M44" s="99">
        <v>1207</v>
      </c>
      <c r="N44" s="99">
        <v>649</v>
      </c>
      <c r="O44" s="99">
        <v>202</v>
      </c>
      <c r="P44" s="159">
        <v>202</v>
      </c>
      <c r="Q44" s="99">
        <v>25</v>
      </c>
      <c r="R44" s="99">
        <v>59</v>
      </c>
      <c r="S44" s="99">
        <v>33</v>
      </c>
      <c r="T44" s="99">
        <v>50</v>
      </c>
      <c r="U44" s="99" t="s">
        <v>574</v>
      </c>
      <c r="V44" s="99">
        <v>32</v>
      </c>
      <c r="W44" s="99">
        <v>70</v>
      </c>
      <c r="X44" s="99">
        <v>108</v>
      </c>
      <c r="Y44" s="99">
        <v>138</v>
      </c>
      <c r="Z44" s="99">
        <v>106</v>
      </c>
      <c r="AA44" s="99" t="s">
        <v>574</v>
      </c>
      <c r="AB44" s="99" t="s">
        <v>574</v>
      </c>
      <c r="AC44" s="99" t="s">
        <v>574</v>
      </c>
      <c r="AD44" s="98" t="s">
        <v>333</v>
      </c>
      <c r="AE44" s="100">
        <v>0.22788502788502787</v>
      </c>
      <c r="AF44" s="100">
        <v>0.05</v>
      </c>
      <c r="AG44" s="98">
        <v>609.1806091806092</v>
      </c>
      <c r="AH44" s="98">
        <v>343.2003432003432</v>
      </c>
      <c r="AI44" s="100">
        <v>0.015</v>
      </c>
      <c r="AJ44" s="100">
        <v>0.791101</v>
      </c>
      <c r="AK44" s="100">
        <v>0.818182</v>
      </c>
      <c r="AL44" s="100">
        <v>0.803977</v>
      </c>
      <c r="AM44" s="100">
        <v>0.666851</v>
      </c>
      <c r="AN44" s="100">
        <v>0.694118</v>
      </c>
      <c r="AO44" s="98">
        <v>1733.161733161733</v>
      </c>
      <c r="AP44" s="158">
        <v>0.7701545715</v>
      </c>
      <c r="AQ44" s="100">
        <v>0.12376237623762376</v>
      </c>
      <c r="AR44" s="100">
        <v>0.423728813559322</v>
      </c>
      <c r="AS44" s="98">
        <v>283.14028314028315</v>
      </c>
      <c r="AT44" s="98">
        <v>429.000429000429</v>
      </c>
      <c r="AU44" s="98" t="s">
        <v>574</v>
      </c>
      <c r="AV44" s="98">
        <v>274.56027456027454</v>
      </c>
      <c r="AW44" s="98">
        <v>600.6006006006006</v>
      </c>
      <c r="AX44" s="98">
        <v>926.6409266409266</v>
      </c>
      <c r="AY44" s="98">
        <v>1184.0411840411841</v>
      </c>
      <c r="AZ44" s="98">
        <v>909.4809094809095</v>
      </c>
      <c r="BA44" s="100" t="s">
        <v>574</v>
      </c>
      <c r="BB44" s="100" t="s">
        <v>574</v>
      </c>
      <c r="BC44" s="100" t="s">
        <v>574</v>
      </c>
      <c r="BD44" s="158">
        <v>0.6676042175000001</v>
      </c>
      <c r="BE44" s="158">
        <v>0.8840000152999999</v>
      </c>
      <c r="BF44" s="162">
        <v>1843</v>
      </c>
      <c r="BG44" s="162">
        <v>22</v>
      </c>
      <c r="BH44" s="162">
        <v>2816</v>
      </c>
      <c r="BI44" s="162">
        <v>1810</v>
      </c>
      <c r="BJ44" s="162">
        <v>935</v>
      </c>
      <c r="BK44" s="97"/>
      <c r="BL44" s="97"/>
      <c r="BM44" s="97"/>
      <c r="BN44" s="97"/>
    </row>
    <row r="45" spans="1:66" ht="12.75">
      <c r="A45" s="79" t="s">
        <v>536</v>
      </c>
      <c r="B45" s="79" t="s">
        <v>302</v>
      </c>
      <c r="C45" s="79" t="s">
        <v>198</v>
      </c>
      <c r="D45" s="99">
        <v>12512</v>
      </c>
      <c r="E45" s="99">
        <v>2520</v>
      </c>
      <c r="F45" s="99" t="s">
        <v>356</v>
      </c>
      <c r="G45" s="99">
        <v>68</v>
      </c>
      <c r="H45" s="99">
        <v>39</v>
      </c>
      <c r="I45" s="99">
        <v>278</v>
      </c>
      <c r="J45" s="99">
        <v>1319</v>
      </c>
      <c r="K45" s="99">
        <v>1297</v>
      </c>
      <c r="L45" s="99">
        <v>2327</v>
      </c>
      <c r="M45" s="99">
        <v>908</v>
      </c>
      <c r="N45" s="99">
        <v>493</v>
      </c>
      <c r="O45" s="99">
        <v>244</v>
      </c>
      <c r="P45" s="159">
        <v>244</v>
      </c>
      <c r="Q45" s="99">
        <v>34</v>
      </c>
      <c r="R45" s="99">
        <v>66</v>
      </c>
      <c r="S45" s="99">
        <v>57</v>
      </c>
      <c r="T45" s="99">
        <v>45</v>
      </c>
      <c r="U45" s="99">
        <v>11</v>
      </c>
      <c r="V45" s="99">
        <v>43</v>
      </c>
      <c r="W45" s="99">
        <v>43</v>
      </c>
      <c r="X45" s="99">
        <v>116</v>
      </c>
      <c r="Y45" s="99">
        <v>149</v>
      </c>
      <c r="Z45" s="99">
        <v>86</v>
      </c>
      <c r="AA45" s="99" t="s">
        <v>574</v>
      </c>
      <c r="AB45" s="99" t="s">
        <v>574</v>
      </c>
      <c r="AC45" s="99" t="s">
        <v>574</v>
      </c>
      <c r="AD45" s="98" t="s">
        <v>333</v>
      </c>
      <c r="AE45" s="100">
        <v>0.20140664961636828</v>
      </c>
      <c r="AF45" s="100">
        <v>0.08</v>
      </c>
      <c r="AG45" s="98">
        <v>543.4782608695652</v>
      </c>
      <c r="AH45" s="98">
        <v>311.7007672634271</v>
      </c>
      <c r="AI45" s="100">
        <v>0.022000000000000002</v>
      </c>
      <c r="AJ45" s="100">
        <v>0.801337</v>
      </c>
      <c r="AK45" s="100">
        <v>0.817781</v>
      </c>
      <c r="AL45" s="100">
        <v>0.756502</v>
      </c>
      <c r="AM45" s="100">
        <v>0.582798</v>
      </c>
      <c r="AN45" s="100">
        <v>0.619347</v>
      </c>
      <c r="AO45" s="98">
        <v>1950.1278772378516</v>
      </c>
      <c r="AP45" s="158">
        <v>0.9496274567</v>
      </c>
      <c r="AQ45" s="100">
        <v>0.13934426229508196</v>
      </c>
      <c r="AR45" s="100">
        <v>0.5151515151515151</v>
      </c>
      <c r="AS45" s="98">
        <v>455.5626598465473</v>
      </c>
      <c r="AT45" s="98">
        <v>359.6547314578005</v>
      </c>
      <c r="AU45" s="98">
        <v>87.9156010230179</v>
      </c>
      <c r="AV45" s="98">
        <v>343.6700767263427</v>
      </c>
      <c r="AW45" s="98">
        <v>343.6700767263427</v>
      </c>
      <c r="AX45" s="98">
        <v>927.1099744245524</v>
      </c>
      <c r="AY45" s="98">
        <v>1190.8567774936062</v>
      </c>
      <c r="AZ45" s="98">
        <v>687.3401534526854</v>
      </c>
      <c r="BA45" s="100" t="s">
        <v>574</v>
      </c>
      <c r="BB45" s="100" t="s">
        <v>574</v>
      </c>
      <c r="BC45" s="100" t="s">
        <v>574</v>
      </c>
      <c r="BD45" s="158">
        <v>0.8342020416</v>
      </c>
      <c r="BE45" s="158">
        <v>1.076559143</v>
      </c>
      <c r="BF45" s="162">
        <v>1646</v>
      </c>
      <c r="BG45" s="162">
        <v>1586</v>
      </c>
      <c r="BH45" s="162">
        <v>3076</v>
      </c>
      <c r="BI45" s="162">
        <v>1558</v>
      </c>
      <c r="BJ45" s="162">
        <v>796</v>
      </c>
      <c r="BK45" s="97"/>
      <c r="BL45" s="97"/>
      <c r="BM45" s="97"/>
      <c r="BN45" s="97"/>
    </row>
    <row r="46" spans="1:66" ht="12.75">
      <c r="A46" s="79" t="s">
        <v>559</v>
      </c>
      <c r="B46" s="79" t="s">
        <v>324</v>
      </c>
      <c r="C46" s="79" t="s">
        <v>198</v>
      </c>
      <c r="D46" s="99">
        <v>4595</v>
      </c>
      <c r="E46" s="99">
        <v>978</v>
      </c>
      <c r="F46" s="99" t="s">
        <v>356</v>
      </c>
      <c r="G46" s="99">
        <v>11</v>
      </c>
      <c r="H46" s="99">
        <v>10</v>
      </c>
      <c r="I46" s="99">
        <v>68</v>
      </c>
      <c r="J46" s="99">
        <v>557</v>
      </c>
      <c r="K46" s="99">
        <v>409</v>
      </c>
      <c r="L46" s="99">
        <v>951</v>
      </c>
      <c r="M46" s="99">
        <v>386</v>
      </c>
      <c r="N46" s="99">
        <v>206</v>
      </c>
      <c r="O46" s="99">
        <v>54</v>
      </c>
      <c r="P46" s="159">
        <v>54</v>
      </c>
      <c r="Q46" s="99">
        <v>8</v>
      </c>
      <c r="R46" s="99">
        <v>19</v>
      </c>
      <c r="S46" s="99">
        <v>10</v>
      </c>
      <c r="T46" s="99">
        <v>17</v>
      </c>
      <c r="U46" s="99" t="s">
        <v>574</v>
      </c>
      <c r="V46" s="99" t="s">
        <v>574</v>
      </c>
      <c r="W46" s="99">
        <v>33</v>
      </c>
      <c r="X46" s="99">
        <v>41</v>
      </c>
      <c r="Y46" s="99">
        <v>55</v>
      </c>
      <c r="Z46" s="99">
        <v>36</v>
      </c>
      <c r="AA46" s="99" t="s">
        <v>574</v>
      </c>
      <c r="AB46" s="99" t="s">
        <v>574</v>
      </c>
      <c r="AC46" s="99" t="s">
        <v>574</v>
      </c>
      <c r="AD46" s="98" t="s">
        <v>333</v>
      </c>
      <c r="AE46" s="100">
        <v>0.21284004352557126</v>
      </c>
      <c r="AF46" s="100">
        <v>0.06</v>
      </c>
      <c r="AG46" s="98">
        <v>239.3906420021763</v>
      </c>
      <c r="AH46" s="98">
        <v>217.6278563656148</v>
      </c>
      <c r="AI46" s="100">
        <v>0.015</v>
      </c>
      <c r="AJ46" s="100">
        <v>0.769337</v>
      </c>
      <c r="AK46" s="100">
        <v>0.771698</v>
      </c>
      <c r="AL46" s="100">
        <v>0.822664</v>
      </c>
      <c r="AM46" s="100">
        <v>0.571006</v>
      </c>
      <c r="AN46" s="100">
        <v>0.575419</v>
      </c>
      <c r="AO46" s="98">
        <v>1175.19042437432</v>
      </c>
      <c r="AP46" s="158">
        <v>0.5284227371</v>
      </c>
      <c r="AQ46" s="100">
        <v>0.14814814814814814</v>
      </c>
      <c r="AR46" s="100">
        <v>0.42105263157894735</v>
      </c>
      <c r="AS46" s="98">
        <v>217.6278563656148</v>
      </c>
      <c r="AT46" s="98">
        <v>369.96735582154514</v>
      </c>
      <c r="AU46" s="98" t="s">
        <v>574</v>
      </c>
      <c r="AV46" s="98" t="s">
        <v>574</v>
      </c>
      <c r="AW46" s="98">
        <v>718.1719260065288</v>
      </c>
      <c r="AX46" s="98">
        <v>892.2742110990207</v>
      </c>
      <c r="AY46" s="98">
        <v>1196.9532100108813</v>
      </c>
      <c r="AZ46" s="98">
        <v>783.4602829162133</v>
      </c>
      <c r="BA46" s="100" t="s">
        <v>574</v>
      </c>
      <c r="BB46" s="100" t="s">
        <v>574</v>
      </c>
      <c r="BC46" s="100" t="s">
        <v>574</v>
      </c>
      <c r="BD46" s="158">
        <v>0.39696743009999996</v>
      </c>
      <c r="BE46" s="158">
        <v>0.6894770813</v>
      </c>
      <c r="BF46" s="162">
        <v>724</v>
      </c>
      <c r="BG46" s="162">
        <v>530</v>
      </c>
      <c r="BH46" s="162">
        <v>1156</v>
      </c>
      <c r="BI46" s="162">
        <v>676</v>
      </c>
      <c r="BJ46" s="162">
        <v>358</v>
      </c>
      <c r="BK46" s="97"/>
      <c r="BL46" s="97"/>
      <c r="BM46" s="97"/>
      <c r="BN46" s="97"/>
    </row>
    <row r="47" spans="1:66" ht="12.75">
      <c r="A47" s="79" t="s">
        <v>563</v>
      </c>
      <c r="B47" s="79" t="s">
        <v>328</v>
      </c>
      <c r="C47" s="79" t="s">
        <v>198</v>
      </c>
      <c r="D47" s="99">
        <v>8049</v>
      </c>
      <c r="E47" s="99">
        <v>1415</v>
      </c>
      <c r="F47" s="99" t="s">
        <v>355</v>
      </c>
      <c r="G47" s="99">
        <v>57</v>
      </c>
      <c r="H47" s="99">
        <v>30</v>
      </c>
      <c r="I47" s="99">
        <v>168</v>
      </c>
      <c r="J47" s="99">
        <v>739</v>
      </c>
      <c r="K47" s="99" t="s">
        <v>574</v>
      </c>
      <c r="L47" s="99">
        <v>1528</v>
      </c>
      <c r="M47" s="99">
        <v>474</v>
      </c>
      <c r="N47" s="99">
        <v>230</v>
      </c>
      <c r="O47" s="99">
        <v>208</v>
      </c>
      <c r="P47" s="159">
        <v>208</v>
      </c>
      <c r="Q47" s="99">
        <v>10</v>
      </c>
      <c r="R47" s="99">
        <v>42</v>
      </c>
      <c r="S47" s="99">
        <v>56</v>
      </c>
      <c r="T47" s="99">
        <v>26</v>
      </c>
      <c r="U47" s="99">
        <v>12</v>
      </c>
      <c r="V47" s="99">
        <v>40</v>
      </c>
      <c r="W47" s="99">
        <v>44</v>
      </c>
      <c r="X47" s="99">
        <v>138</v>
      </c>
      <c r="Y47" s="99">
        <v>182</v>
      </c>
      <c r="Z47" s="99">
        <v>85</v>
      </c>
      <c r="AA47" s="99" t="s">
        <v>574</v>
      </c>
      <c r="AB47" s="99" t="s">
        <v>574</v>
      </c>
      <c r="AC47" s="99" t="s">
        <v>574</v>
      </c>
      <c r="AD47" s="98" t="s">
        <v>333</v>
      </c>
      <c r="AE47" s="100">
        <v>0.17579823580569015</v>
      </c>
      <c r="AF47" s="100">
        <v>0.16</v>
      </c>
      <c r="AG47" s="98">
        <v>708.1625046589638</v>
      </c>
      <c r="AH47" s="98">
        <v>372.71710771524414</v>
      </c>
      <c r="AI47" s="100">
        <v>0.021</v>
      </c>
      <c r="AJ47" s="100">
        <v>0.736056</v>
      </c>
      <c r="AK47" s="100" t="s">
        <v>574</v>
      </c>
      <c r="AL47" s="100">
        <v>0.795419</v>
      </c>
      <c r="AM47" s="100">
        <v>0.525499</v>
      </c>
      <c r="AN47" s="100">
        <v>0.526316</v>
      </c>
      <c r="AO47" s="98">
        <v>2584.1719468256924</v>
      </c>
      <c r="AP47" s="158">
        <v>1.363857117</v>
      </c>
      <c r="AQ47" s="100">
        <v>0.04807692307692308</v>
      </c>
      <c r="AR47" s="100">
        <v>0.23809523809523808</v>
      </c>
      <c r="AS47" s="98">
        <v>695.7386010684558</v>
      </c>
      <c r="AT47" s="98">
        <v>323.02149335321155</v>
      </c>
      <c r="AU47" s="98">
        <v>149.08684308609764</v>
      </c>
      <c r="AV47" s="98">
        <v>496.9561436203255</v>
      </c>
      <c r="AW47" s="98">
        <v>546.651757982358</v>
      </c>
      <c r="AX47" s="98">
        <v>1714.498695490123</v>
      </c>
      <c r="AY47" s="98">
        <v>2261.150453472481</v>
      </c>
      <c r="AZ47" s="98">
        <v>1056.0318051931918</v>
      </c>
      <c r="BA47" s="100" t="s">
        <v>574</v>
      </c>
      <c r="BB47" s="100" t="s">
        <v>574</v>
      </c>
      <c r="BC47" s="100" t="s">
        <v>574</v>
      </c>
      <c r="BD47" s="158">
        <v>1.1847965999999999</v>
      </c>
      <c r="BE47" s="158">
        <v>1.562336426</v>
      </c>
      <c r="BF47" s="162">
        <v>1004</v>
      </c>
      <c r="BG47" s="162" t="s">
        <v>574</v>
      </c>
      <c r="BH47" s="162">
        <v>1921</v>
      </c>
      <c r="BI47" s="162">
        <v>902</v>
      </c>
      <c r="BJ47" s="162">
        <v>437</v>
      </c>
      <c r="BK47" s="97"/>
      <c r="BL47" s="97"/>
      <c r="BM47" s="97"/>
      <c r="BN47" s="97"/>
    </row>
    <row r="48" spans="1:66" ht="12.75">
      <c r="A48" s="79" t="s">
        <v>538</v>
      </c>
      <c r="B48" s="79" t="s">
        <v>304</v>
      </c>
      <c r="C48" s="79" t="s">
        <v>198</v>
      </c>
      <c r="D48" s="99">
        <v>7977</v>
      </c>
      <c r="E48" s="99">
        <v>1600</v>
      </c>
      <c r="F48" s="99" t="s">
        <v>354</v>
      </c>
      <c r="G48" s="99">
        <v>55</v>
      </c>
      <c r="H48" s="99">
        <v>23</v>
      </c>
      <c r="I48" s="99">
        <v>173</v>
      </c>
      <c r="J48" s="99">
        <v>924</v>
      </c>
      <c r="K48" s="99">
        <v>9</v>
      </c>
      <c r="L48" s="99">
        <v>1502</v>
      </c>
      <c r="M48" s="99">
        <v>677</v>
      </c>
      <c r="N48" s="99">
        <v>369</v>
      </c>
      <c r="O48" s="99">
        <v>150</v>
      </c>
      <c r="P48" s="159">
        <v>150</v>
      </c>
      <c r="Q48" s="99">
        <v>15</v>
      </c>
      <c r="R48" s="99">
        <v>39</v>
      </c>
      <c r="S48" s="99">
        <v>34</v>
      </c>
      <c r="T48" s="99">
        <v>16</v>
      </c>
      <c r="U48" s="99">
        <v>7</v>
      </c>
      <c r="V48" s="99">
        <v>27</v>
      </c>
      <c r="W48" s="99">
        <v>40</v>
      </c>
      <c r="X48" s="99">
        <v>72</v>
      </c>
      <c r="Y48" s="99">
        <v>124</v>
      </c>
      <c r="Z48" s="99">
        <v>68</v>
      </c>
      <c r="AA48" s="99" t="s">
        <v>574</v>
      </c>
      <c r="AB48" s="99" t="s">
        <v>574</v>
      </c>
      <c r="AC48" s="99" t="s">
        <v>574</v>
      </c>
      <c r="AD48" s="98" t="s">
        <v>333</v>
      </c>
      <c r="AE48" s="100">
        <v>0.2005766578914379</v>
      </c>
      <c r="AF48" s="100">
        <v>0.09</v>
      </c>
      <c r="AG48" s="98">
        <v>689.4822615018177</v>
      </c>
      <c r="AH48" s="98">
        <v>288.32894571894195</v>
      </c>
      <c r="AI48" s="100">
        <v>0.022000000000000002</v>
      </c>
      <c r="AJ48" s="100">
        <v>0.783051</v>
      </c>
      <c r="AK48" s="100">
        <v>0.6</v>
      </c>
      <c r="AL48" s="100">
        <v>0.762437</v>
      </c>
      <c r="AM48" s="100">
        <v>0.611011</v>
      </c>
      <c r="AN48" s="100">
        <v>0.627551</v>
      </c>
      <c r="AO48" s="98">
        <v>1880.4061677322302</v>
      </c>
      <c r="AP48" s="158">
        <v>0.8939362335</v>
      </c>
      <c r="AQ48" s="100">
        <v>0.1</v>
      </c>
      <c r="AR48" s="100">
        <v>0.38461538461538464</v>
      </c>
      <c r="AS48" s="98">
        <v>426.2253980193055</v>
      </c>
      <c r="AT48" s="98">
        <v>200.5766578914379</v>
      </c>
      <c r="AU48" s="98">
        <v>87.75228782750408</v>
      </c>
      <c r="AV48" s="98">
        <v>338.4731101918014</v>
      </c>
      <c r="AW48" s="98">
        <v>501.4416447285947</v>
      </c>
      <c r="AX48" s="98">
        <v>902.5949605114705</v>
      </c>
      <c r="AY48" s="98">
        <v>1554.4690986586436</v>
      </c>
      <c r="AZ48" s="98">
        <v>852.450796038611</v>
      </c>
      <c r="BA48" s="100" t="s">
        <v>574</v>
      </c>
      <c r="BB48" s="100" t="s">
        <v>574</v>
      </c>
      <c r="BC48" s="100" t="s">
        <v>574</v>
      </c>
      <c r="BD48" s="158">
        <v>0.7566047668</v>
      </c>
      <c r="BE48" s="158">
        <v>1.048987503</v>
      </c>
      <c r="BF48" s="162">
        <v>1180</v>
      </c>
      <c r="BG48" s="162">
        <v>15</v>
      </c>
      <c r="BH48" s="162">
        <v>1970</v>
      </c>
      <c r="BI48" s="162">
        <v>1108</v>
      </c>
      <c r="BJ48" s="162">
        <v>588</v>
      </c>
      <c r="BK48" s="97"/>
      <c r="BL48" s="97"/>
      <c r="BM48" s="97"/>
      <c r="BN48" s="97"/>
    </row>
    <row r="49" spans="1:66" ht="12.75">
      <c r="A49" s="79" t="s">
        <v>528</v>
      </c>
      <c r="B49" s="79" t="s">
        <v>292</v>
      </c>
      <c r="C49" s="79" t="s">
        <v>198</v>
      </c>
      <c r="D49" s="99">
        <v>9448</v>
      </c>
      <c r="E49" s="99">
        <v>1923</v>
      </c>
      <c r="F49" s="99" t="s">
        <v>356</v>
      </c>
      <c r="G49" s="99">
        <v>40</v>
      </c>
      <c r="H49" s="99">
        <v>31</v>
      </c>
      <c r="I49" s="99">
        <v>208</v>
      </c>
      <c r="J49" s="99">
        <v>976</v>
      </c>
      <c r="K49" s="99" t="s">
        <v>574</v>
      </c>
      <c r="L49" s="99">
        <v>1854</v>
      </c>
      <c r="M49" s="99">
        <v>731</v>
      </c>
      <c r="N49" s="99">
        <v>368</v>
      </c>
      <c r="O49" s="99">
        <v>176</v>
      </c>
      <c r="P49" s="159">
        <v>176</v>
      </c>
      <c r="Q49" s="99">
        <v>20</v>
      </c>
      <c r="R49" s="99">
        <v>42</v>
      </c>
      <c r="S49" s="99">
        <v>32</v>
      </c>
      <c r="T49" s="99">
        <v>32</v>
      </c>
      <c r="U49" s="99">
        <v>9</v>
      </c>
      <c r="V49" s="99">
        <v>35</v>
      </c>
      <c r="W49" s="99">
        <v>49</v>
      </c>
      <c r="X49" s="99">
        <v>74</v>
      </c>
      <c r="Y49" s="99">
        <v>120</v>
      </c>
      <c r="Z49" s="99">
        <v>69</v>
      </c>
      <c r="AA49" s="99" t="s">
        <v>574</v>
      </c>
      <c r="AB49" s="99" t="s">
        <v>574</v>
      </c>
      <c r="AC49" s="99" t="s">
        <v>574</v>
      </c>
      <c r="AD49" s="98" t="s">
        <v>333</v>
      </c>
      <c r="AE49" s="100">
        <v>0.20353513971210838</v>
      </c>
      <c r="AF49" s="100">
        <v>0.07</v>
      </c>
      <c r="AG49" s="98">
        <v>423.3700254022015</v>
      </c>
      <c r="AH49" s="98">
        <v>328.11176968670617</v>
      </c>
      <c r="AI49" s="100">
        <v>0.022000000000000002</v>
      </c>
      <c r="AJ49" s="100">
        <v>0.758353</v>
      </c>
      <c r="AK49" s="100" t="s">
        <v>574</v>
      </c>
      <c r="AL49" s="100">
        <v>0.800518</v>
      </c>
      <c r="AM49" s="100">
        <v>0.595277</v>
      </c>
      <c r="AN49" s="100">
        <v>0.607261</v>
      </c>
      <c r="AO49" s="98">
        <v>1862.8281117696868</v>
      </c>
      <c r="AP49" s="158">
        <v>0.8890503692999999</v>
      </c>
      <c r="AQ49" s="100">
        <v>0.11363636363636363</v>
      </c>
      <c r="AR49" s="100">
        <v>0.47619047619047616</v>
      </c>
      <c r="AS49" s="98">
        <v>338.69602032176124</v>
      </c>
      <c r="AT49" s="98">
        <v>338.69602032176124</v>
      </c>
      <c r="AU49" s="98">
        <v>95.25825571549534</v>
      </c>
      <c r="AV49" s="98">
        <v>370.44877222692634</v>
      </c>
      <c r="AW49" s="98">
        <v>518.6282811176968</v>
      </c>
      <c r="AX49" s="98">
        <v>783.2345469940728</v>
      </c>
      <c r="AY49" s="98">
        <v>1270.1100762066046</v>
      </c>
      <c r="AZ49" s="98">
        <v>730.3132938187977</v>
      </c>
      <c r="BA49" s="100" t="s">
        <v>574</v>
      </c>
      <c r="BB49" s="100" t="s">
        <v>574</v>
      </c>
      <c r="BC49" s="100" t="s">
        <v>574</v>
      </c>
      <c r="BD49" s="158">
        <v>0.7625518799</v>
      </c>
      <c r="BE49" s="158">
        <v>1.030538101</v>
      </c>
      <c r="BF49" s="162">
        <v>1287</v>
      </c>
      <c r="BG49" s="162" t="s">
        <v>574</v>
      </c>
      <c r="BH49" s="162">
        <v>2316</v>
      </c>
      <c r="BI49" s="162">
        <v>1228</v>
      </c>
      <c r="BJ49" s="162">
        <v>606</v>
      </c>
      <c r="BK49" s="97"/>
      <c r="BL49" s="97"/>
      <c r="BM49" s="97"/>
      <c r="BN49" s="97"/>
    </row>
    <row r="50" spans="1:66" ht="12.75">
      <c r="A50" s="79" t="s">
        <v>557</v>
      </c>
      <c r="B50" s="79" t="s">
        <v>322</v>
      </c>
      <c r="C50" s="79" t="s">
        <v>198</v>
      </c>
      <c r="D50" s="99">
        <v>4519</v>
      </c>
      <c r="E50" s="99">
        <v>937</v>
      </c>
      <c r="F50" s="99" t="s">
        <v>354</v>
      </c>
      <c r="G50" s="99">
        <v>32</v>
      </c>
      <c r="H50" s="99">
        <v>19</v>
      </c>
      <c r="I50" s="99">
        <v>72</v>
      </c>
      <c r="J50" s="99">
        <v>447</v>
      </c>
      <c r="K50" s="99">
        <v>12</v>
      </c>
      <c r="L50" s="99">
        <v>895</v>
      </c>
      <c r="M50" s="99">
        <v>364</v>
      </c>
      <c r="N50" s="99">
        <v>189</v>
      </c>
      <c r="O50" s="99">
        <v>108</v>
      </c>
      <c r="P50" s="159">
        <v>108</v>
      </c>
      <c r="Q50" s="99">
        <v>11</v>
      </c>
      <c r="R50" s="99">
        <v>25</v>
      </c>
      <c r="S50" s="99">
        <v>46</v>
      </c>
      <c r="T50" s="99">
        <v>12</v>
      </c>
      <c r="U50" s="99" t="s">
        <v>574</v>
      </c>
      <c r="V50" s="99">
        <v>15</v>
      </c>
      <c r="W50" s="99">
        <v>25</v>
      </c>
      <c r="X50" s="99">
        <v>42</v>
      </c>
      <c r="Y50" s="99">
        <v>69</v>
      </c>
      <c r="Z50" s="99">
        <v>42</v>
      </c>
      <c r="AA50" s="99" t="s">
        <v>574</v>
      </c>
      <c r="AB50" s="99" t="s">
        <v>574</v>
      </c>
      <c r="AC50" s="99" t="s">
        <v>574</v>
      </c>
      <c r="AD50" s="98" t="s">
        <v>333</v>
      </c>
      <c r="AE50" s="100">
        <v>0.20734675813233017</v>
      </c>
      <c r="AF50" s="100">
        <v>0.09</v>
      </c>
      <c r="AG50" s="98">
        <v>708.1212657667626</v>
      </c>
      <c r="AH50" s="98">
        <v>420.4470015490153</v>
      </c>
      <c r="AI50" s="100">
        <v>0.016</v>
      </c>
      <c r="AJ50" s="100">
        <v>0.752525</v>
      </c>
      <c r="AK50" s="100">
        <v>0.8</v>
      </c>
      <c r="AL50" s="100">
        <v>0.782343</v>
      </c>
      <c r="AM50" s="100">
        <v>0.577778</v>
      </c>
      <c r="AN50" s="100">
        <v>0.625828</v>
      </c>
      <c r="AO50" s="98">
        <v>2389.909271962824</v>
      </c>
      <c r="AP50" s="158">
        <v>1.142927628</v>
      </c>
      <c r="AQ50" s="100">
        <v>0.10185185185185185</v>
      </c>
      <c r="AR50" s="100">
        <v>0.44</v>
      </c>
      <c r="AS50" s="98">
        <v>1017.9243195397212</v>
      </c>
      <c r="AT50" s="98">
        <v>265.545474662536</v>
      </c>
      <c r="AU50" s="98" t="s">
        <v>574</v>
      </c>
      <c r="AV50" s="98">
        <v>331.93184332817</v>
      </c>
      <c r="AW50" s="98">
        <v>553.2197388802832</v>
      </c>
      <c r="AX50" s="98">
        <v>929.4091613188758</v>
      </c>
      <c r="AY50" s="98">
        <v>1526.8864793095818</v>
      </c>
      <c r="AZ50" s="98">
        <v>929.4091613188758</v>
      </c>
      <c r="BA50" s="100" t="s">
        <v>574</v>
      </c>
      <c r="BB50" s="100" t="s">
        <v>574</v>
      </c>
      <c r="BC50" s="100" t="s">
        <v>574</v>
      </c>
      <c r="BD50" s="158">
        <v>0.9375656890999999</v>
      </c>
      <c r="BE50" s="158">
        <v>1.379902191</v>
      </c>
      <c r="BF50" s="162">
        <v>594</v>
      </c>
      <c r="BG50" s="162">
        <v>15</v>
      </c>
      <c r="BH50" s="162">
        <v>1144</v>
      </c>
      <c r="BI50" s="162">
        <v>630</v>
      </c>
      <c r="BJ50" s="162">
        <v>302</v>
      </c>
      <c r="BK50" s="97"/>
      <c r="BL50" s="97"/>
      <c r="BM50" s="97"/>
      <c r="BN50" s="97"/>
    </row>
    <row r="51" spans="1:66" ht="12.75">
      <c r="A51" s="79" t="s">
        <v>541</v>
      </c>
      <c r="B51" s="79" t="s">
        <v>307</v>
      </c>
      <c r="C51" s="79" t="s">
        <v>198</v>
      </c>
      <c r="D51" s="99">
        <v>5317</v>
      </c>
      <c r="E51" s="99">
        <v>876</v>
      </c>
      <c r="F51" s="99" t="s">
        <v>354</v>
      </c>
      <c r="G51" s="99">
        <v>40</v>
      </c>
      <c r="H51" s="99">
        <v>15</v>
      </c>
      <c r="I51" s="99">
        <v>130</v>
      </c>
      <c r="J51" s="99">
        <v>569</v>
      </c>
      <c r="K51" s="99" t="s">
        <v>574</v>
      </c>
      <c r="L51" s="99">
        <v>1066</v>
      </c>
      <c r="M51" s="99">
        <v>345</v>
      </c>
      <c r="N51" s="99">
        <v>194</v>
      </c>
      <c r="O51" s="99">
        <v>23</v>
      </c>
      <c r="P51" s="159">
        <v>23</v>
      </c>
      <c r="Q51" s="99">
        <v>8</v>
      </c>
      <c r="R51" s="99">
        <v>27</v>
      </c>
      <c r="S51" s="99" t="s">
        <v>574</v>
      </c>
      <c r="T51" s="99" t="s">
        <v>574</v>
      </c>
      <c r="U51" s="99" t="s">
        <v>574</v>
      </c>
      <c r="V51" s="99" t="s">
        <v>574</v>
      </c>
      <c r="W51" s="99">
        <v>24</v>
      </c>
      <c r="X51" s="99">
        <v>75</v>
      </c>
      <c r="Y51" s="99">
        <v>60</v>
      </c>
      <c r="Z51" s="99">
        <v>64</v>
      </c>
      <c r="AA51" s="99" t="s">
        <v>574</v>
      </c>
      <c r="AB51" s="99" t="s">
        <v>574</v>
      </c>
      <c r="AC51" s="99" t="s">
        <v>574</v>
      </c>
      <c r="AD51" s="98" t="s">
        <v>333</v>
      </c>
      <c r="AE51" s="100">
        <v>0.1647545608425804</v>
      </c>
      <c r="AF51" s="100">
        <v>0.09</v>
      </c>
      <c r="AG51" s="98">
        <v>752.3039307880383</v>
      </c>
      <c r="AH51" s="98">
        <v>282.1139740455144</v>
      </c>
      <c r="AI51" s="100">
        <v>0.024</v>
      </c>
      <c r="AJ51" s="100">
        <v>0.753642</v>
      </c>
      <c r="AK51" s="100" t="s">
        <v>574</v>
      </c>
      <c r="AL51" s="100">
        <v>0.793155</v>
      </c>
      <c r="AM51" s="100">
        <v>0.566502</v>
      </c>
      <c r="AN51" s="100">
        <v>0.582583</v>
      </c>
      <c r="AO51" s="98">
        <v>432.5747602031221</v>
      </c>
      <c r="AP51" s="158">
        <v>0.2198923683</v>
      </c>
      <c r="AQ51" s="100">
        <v>0.34782608695652173</v>
      </c>
      <c r="AR51" s="100">
        <v>0.2962962962962963</v>
      </c>
      <c r="AS51" s="98" t="s">
        <v>574</v>
      </c>
      <c r="AT51" s="98" t="s">
        <v>574</v>
      </c>
      <c r="AU51" s="98" t="s">
        <v>574</v>
      </c>
      <c r="AV51" s="98" t="s">
        <v>574</v>
      </c>
      <c r="AW51" s="98">
        <v>451.382358472823</v>
      </c>
      <c r="AX51" s="98">
        <v>1410.569870227572</v>
      </c>
      <c r="AY51" s="98">
        <v>1128.4558961820576</v>
      </c>
      <c r="AZ51" s="98">
        <v>1203.6862892608615</v>
      </c>
      <c r="BA51" s="100" t="s">
        <v>574</v>
      </c>
      <c r="BB51" s="100" t="s">
        <v>574</v>
      </c>
      <c r="BC51" s="100" t="s">
        <v>574</v>
      </c>
      <c r="BD51" s="158">
        <v>0.1393929005</v>
      </c>
      <c r="BE51" s="158">
        <v>0.3299465179</v>
      </c>
      <c r="BF51" s="162">
        <v>755</v>
      </c>
      <c r="BG51" s="162" t="s">
        <v>574</v>
      </c>
      <c r="BH51" s="162">
        <v>1344</v>
      </c>
      <c r="BI51" s="162">
        <v>609</v>
      </c>
      <c r="BJ51" s="162">
        <v>333</v>
      </c>
      <c r="BK51" s="97"/>
      <c r="BL51" s="97"/>
      <c r="BM51" s="97"/>
      <c r="BN51" s="97"/>
    </row>
    <row r="52" spans="1:66" ht="12.75">
      <c r="A52" s="79" t="s">
        <v>562</v>
      </c>
      <c r="B52" s="79" t="s">
        <v>327</v>
      </c>
      <c r="C52" s="79" t="s">
        <v>198</v>
      </c>
      <c r="D52" s="99">
        <v>5535</v>
      </c>
      <c r="E52" s="99">
        <v>557</v>
      </c>
      <c r="F52" s="99" t="s">
        <v>353</v>
      </c>
      <c r="G52" s="99">
        <v>16</v>
      </c>
      <c r="H52" s="99">
        <v>10</v>
      </c>
      <c r="I52" s="99">
        <v>81</v>
      </c>
      <c r="J52" s="99">
        <v>386</v>
      </c>
      <c r="K52" s="99">
        <v>11</v>
      </c>
      <c r="L52" s="99">
        <v>1057</v>
      </c>
      <c r="M52" s="99">
        <v>240</v>
      </c>
      <c r="N52" s="99">
        <v>137</v>
      </c>
      <c r="O52" s="99">
        <v>100</v>
      </c>
      <c r="P52" s="159">
        <v>100</v>
      </c>
      <c r="Q52" s="99">
        <v>9</v>
      </c>
      <c r="R52" s="99">
        <v>29</v>
      </c>
      <c r="S52" s="99">
        <v>28</v>
      </c>
      <c r="T52" s="99">
        <v>15</v>
      </c>
      <c r="U52" s="99">
        <v>6</v>
      </c>
      <c r="V52" s="99">
        <v>18</v>
      </c>
      <c r="W52" s="99">
        <v>21</v>
      </c>
      <c r="X52" s="99">
        <v>45</v>
      </c>
      <c r="Y52" s="99">
        <v>49</v>
      </c>
      <c r="Z52" s="99">
        <v>37</v>
      </c>
      <c r="AA52" s="99" t="s">
        <v>574</v>
      </c>
      <c r="AB52" s="99" t="s">
        <v>574</v>
      </c>
      <c r="AC52" s="99" t="s">
        <v>574</v>
      </c>
      <c r="AD52" s="98" t="s">
        <v>333</v>
      </c>
      <c r="AE52" s="100">
        <v>0.1006323396567299</v>
      </c>
      <c r="AF52" s="100">
        <v>0.18</v>
      </c>
      <c r="AG52" s="98">
        <v>289.0695573622403</v>
      </c>
      <c r="AH52" s="98">
        <v>180.6684733514002</v>
      </c>
      <c r="AI52" s="100">
        <v>0.015</v>
      </c>
      <c r="AJ52" s="100">
        <v>0.724203</v>
      </c>
      <c r="AK52" s="100">
        <v>0.6875</v>
      </c>
      <c r="AL52" s="100">
        <v>0.776065</v>
      </c>
      <c r="AM52" s="100">
        <v>0.517241</v>
      </c>
      <c r="AN52" s="100">
        <v>0.578059</v>
      </c>
      <c r="AO52" s="98">
        <v>1806.684733514002</v>
      </c>
      <c r="AP52" s="158">
        <v>1.1932491299999999</v>
      </c>
      <c r="AQ52" s="100">
        <v>0.09</v>
      </c>
      <c r="AR52" s="100">
        <v>0.3103448275862069</v>
      </c>
      <c r="AS52" s="98">
        <v>505.87172538392053</v>
      </c>
      <c r="AT52" s="98">
        <v>271.00271002710025</v>
      </c>
      <c r="AU52" s="98">
        <v>108.40108401084011</v>
      </c>
      <c r="AV52" s="98">
        <v>325.2032520325203</v>
      </c>
      <c r="AW52" s="98">
        <v>379.4037940379404</v>
      </c>
      <c r="AX52" s="98">
        <v>813.0081300813008</v>
      </c>
      <c r="AY52" s="98">
        <v>885.2755194218608</v>
      </c>
      <c r="AZ52" s="98">
        <v>668.4733514001807</v>
      </c>
      <c r="BA52" s="100" t="s">
        <v>574</v>
      </c>
      <c r="BB52" s="100" t="s">
        <v>574</v>
      </c>
      <c r="BC52" s="100" t="s">
        <v>574</v>
      </c>
      <c r="BD52" s="158">
        <v>0.9708750916</v>
      </c>
      <c r="BE52" s="158">
        <v>1.451310577</v>
      </c>
      <c r="BF52" s="162">
        <v>533</v>
      </c>
      <c r="BG52" s="162">
        <v>16</v>
      </c>
      <c r="BH52" s="162">
        <v>1362</v>
      </c>
      <c r="BI52" s="162">
        <v>464</v>
      </c>
      <c r="BJ52" s="162">
        <v>237</v>
      </c>
      <c r="BK52" s="97"/>
      <c r="BL52" s="97"/>
      <c r="BM52" s="97"/>
      <c r="BN52" s="97"/>
    </row>
    <row r="53" spans="1:66" ht="12.75">
      <c r="A53" s="79" t="s">
        <v>554</v>
      </c>
      <c r="B53" s="79" t="s">
        <v>320</v>
      </c>
      <c r="C53" s="79" t="s">
        <v>198</v>
      </c>
      <c r="D53" s="99">
        <v>9759</v>
      </c>
      <c r="E53" s="99">
        <v>1545</v>
      </c>
      <c r="F53" s="99" t="s">
        <v>356</v>
      </c>
      <c r="G53" s="99">
        <v>49</v>
      </c>
      <c r="H53" s="99">
        <v>19</v>
      </c>
      <c r="I53" s="99">
        <v>163</v>
      </c>
      <c r="J53" s="99">
        <v>673</v>
      </c>
      <c r="K53" s="99">
        <v>43</v>
      </c>
      <c r="L53" s="99">
        <v>2035</v>
      </c>
      <c r="M53" s="99">
        <v>497</v>
      </c>
      <c r="N53" s="99">
        <v>274</v>
      </c>
      <c r="O53" s="99">
        <v>75</v>
      </c>
      <c r="P53" s="159">
        <v>75</v>
      </c>
      <c r="Q53" s="99">
        <v>12</v>
      </c>
      <c r="R53" s="99">
        <v>30</v>
      </c>
      <c r="S53" s="99">
        <v>15</v>
      </c>
      <c r="T53" s="99">
        <v>19</v>
      </c>
      <c r="U53" s="99" t="s">
        <v>574</v>
      </c>
      <c r="V53" s="99">
        <v>16</v>
      </c>
      <c r="W53" s="99">
        <v>37</v>
      </c>
      <c r="X53" s="99">
        <v>46</v>
      </c>
      <c r="Y53" s="99">
        <v>73</v>
      </c>
      <c r="Z53" s="99">
        <v>45</v>
      </c>
      <c r="AA53" s="99" t="s">
        <v>574</v>
      </c>
      <c r="AB53" s="99" t="s">
        <v>574</v>
      </c>
      <c r="AC53" s="99" t="s">
        <v>574</v>
      </c>
      <c r="AD53" s="98" t="s">
        <v>333</v>
      </c>
      <c r="AE53" s="100">
        <v>0.1583154011681525</v>
      </c>
      <c r="AF53" s="100">
        <v>0.06</v>
      </c>
      <c r="AG53" s="98">
        <v>502.10062506404347</v>
      </c>
      <c r="AH53" s="98">
        <v>194.69207910646583</v>
      </c>
      <c r="AI53" s="100">
        <v>0.017</v>
      </c>
      <c r="AJ53" s="100">
        <v>0.687436</v>
      </c>
      <c r="AK53" s="100">
        <v>0.661538</v>
      </c>
      <c r="AL53" s="100">
        <v>0.78876</v>
      </c>
      <c r="AM53" s="100">
        <v>0.543169</v>
      </c>
      <c r="AN53" s="100">
        <v>0.589247</v>
      </c>
      <c r="AO53" s="98">
        <v>768.521364893944</v>
      </c>
      <c r="AP53" s="158">
        <v>0.4181155396</v>
      </c>
      <c r="AQ53" s="100">
        <v>0.16</v>
      </c>
      <c r="AR53" s="100">
        <v>0.4</v>
      </c>
      <c r="AS53" s="98">
        <v>153.70427297878882</v>
      </c>
      <c r="AT53" s="98">
        <v>194.69207910646583</v>
      </c>
      <c r="AU53" s="98" t="s">
        <v>574</v>
      </c>
      <c r="AV53" s="98">
        <v>163.95122451070807</v>
      </c>
      <c r="AW53" s="98">
        <v>379.1372066810124</v>
      </c>
      <c r="AX53" s="98">
        <v>471.35977046828566</v>
      </c>
      <c r="AY53" s="98">
        <v>748.0274618301055</v>
      </c>
      <c r="AZ53" s="98">
        <v>461.1128189363664</v>
      </c>
      <c r="BA53" s="100" t="s">
        <v>574</v>
      </c>
      <c r="BB53" s="100" t="s">
        <v>574</v>
      </c>
      <c r="BC53" s="100" t="s">
        <v>574</v>
      </c>
      <c r="BD53" s="158">
        <v>0.32887439729999995</v>
      </c>
      <c r="BE53" s="158">
        <v>0.5241114426</v>
      </c>
      <c r="BF53" s="162">
        <v>979</v>
      </c>
      <c r="BG53" s="162">
        <v>65</v>
      </c>
      <c r="BH53" s="162">
        <v>2580</v>
      </c>
      <c r="BI53" s="162">
        <v>915</v>
      </c>
      <c r="BJ53" s="162">
        <v>465</v>
      </c>
      <c r="BK53" s="97"/>
      <c r="BL53" s="97"/>
      <c r="BM53" s="97"/>
      <c r="BN53" s="97"/>
    </row>
    <row r="54" spans="1:66" ht="12.75">
      <c r="A54" s="79" t="s">
        <v>542</v>
      </c>
      <c r="B54" s="79" t="s">
        <v>308</v>
      </c>
      <c r="C54" s="79" t="s">
        <v>198</v>
      </c>
      <c r="D54" s="99">
        <v>7045</v>
      </c>
      <c r="E54" s="99">
        <v>1240</v>
      </c>
      <c r="F54" s="99" t="s">
        <v>354</v>
      </c>
      <c r="G54" s="99">
        <v>36</v>
      </c>
      <c r="H54" s="99">
        <v>19</v>
      </c>
      <c r="I54" s="99">
        <v>131</v>
      </c>
      <c r="J54" s="99">
        <v>681</v>
      </c>
      <c r="K54" s="99">
        <v>6</v>
      </c>
      <c r="L54" s="99">
        <v>1312</v>
      </c>
      <c r="M54" s="99">
        <v>457</v>
      </c>
      <c r="N54" s="99">
        <v>269</v>
      </c>
      <c r="O54" s="99">
        <v>60</v>
      </c>
      <c r="P54" s="159">
        <v>60</v>
      </c>
      <c r="Q54" s="99">
        <v>8</v>
      </c>
      <c r="R54" s="99">
        <v>31</v>
      </c>
      <c r="S54" s="99">
        <v>13</v>
      </c>
      <c r="T54" s="99" t="s">
        <v>574</v>
      </c>
      <c r="U54" s="99" t="s">
        <v>574</v>
      </c>
      <c r="V54" s="99">
        <v>11</v>
      </c>
      <c r="W54" s="99">
        <v>19</v>
      </c>
      <c r="X54" s="99">
        <v>69</v>
      </c>
      <c r="Y54" s="99">
        <v>100</v>
      </c>
      <c r="Z54" s="99">
        <v>39</v>
      </c>
      <c r="AA54" s="99" t="s">
        <v>574</v>
      </c>
      <c r="AB54" s="99" t="s">
        <v>574</v>
      </c>
      <c r="AC54" s="99" t="s">
        <v>574</v>
      </c>
      <c r="AD54" s="98" t="s">
        <v>333</v>
      </c>
      <c r="AE54" s="100">
        <v>0.1760113555713272</v>
      </c>
      <c r="AF54" s="100">
        <v>0.12</v>
      </c>
      <c r="AG54" s="98">
        <v>511.00070972320793</v>
      </c>
      <c r="AH54" s="98">
        <v>269.694819020582</v>
      </c>
      <c r="AI54" s="100">
        <v>0.019</v>
      </c>
      <c r="AJ54" s="100">
        <v>0.744262</v>
      </c>
      <c r="AK54" s="100">
        <v>0.666667</v>
      </c>
      <c r="AL54" s="100">
        <v>0.763234</v>
      </c>
      <c r="AM54" s="100">
        <v>0.521095</v>
      </c>
      <c r="AN54" s="100">
        <v>0.578495</v>
      </c>
      <c r="AO54" s="98">
        <v>851.6678495386799</v>
      </c>
      <c r="AP54" s="158">
        <v>0.43100196840000005</v>
      </c>
      <c r="AQ54" s="100">
        <v>0.13333333333333333</v>
      </c>
      <c r="AR54" s="100">
        <v>0.25806451612903225</v>
      </c>
      <c r="AS54" s="98">
        <v>184.52803406671399</v>
      </c>
      <c r="AT54" s="98" t="s">
        <v>574</v>
      </c>
      <c r="AU54" s="98" t="s">
        <v>574</v>
      </c>
      <c r="AV54" s="98">
        <v>156.139105748758</v>
      </c>
      <c r="AW54" s="98">
        <v>269.694819020582</v>
      </c>
      <c r="AX54" s="98">
        <v>979.418026969482</v>
      </c>
      <c r="AY54" s="98">
        <v>1419.4464158977999</v>
      </c>
      <c r="AZ54" s="98">
        <v>553.584102200142</v>
      </c>
      <c r="BA54" s="100" t="s">
        <v>574</v>
      </c>
      <c r="BB54" s="100" t="s">
        <v>574</v>
      </c>
      <c r="BC54" s="100" t="s">
        <v>574</v>
      </c>
      <c r="BD54" s="158">
        <v>0.32889991760000004</v>
      </c>
      <c r="BE54" s="158">
        <v>0.5547849655</v>
      </c>
      <c r="BF54" s="162">
        <v>915</v>
      </c>
      <c r="BG54" s="162">
        <v>9</v>
      </c>
      <c r="BH54" s="162">
        <v>1719</v>
      </c>
      <c r="BI54" s="162">
        <v>877</v>
      </c>
      <c r="BJ54" s="162">
        <v>465</v>
      </c>
      <c r="BK54" s="97"/>
      <c r="BL54" s="97"/>
      <c r="BM54" s="97"/>
      <c r="BN54" s="97"/>
    </row>
    <row r="55" spans="1:66" ht="12.75">
      <c r="A55" s="79" t="s">
        <v>199</v>
      </c>
      <c r="B55" s="94" t="s">
        <v>198</v>
      </c>
      <c r="C55" s="94" t="s">
        <v>7</v>
      </c>
      <c r="D55" s="99">
        <v>467697</v>
      </c>
      <c r="E55" s="99">
        <v>85531</v>
      </c>
      <c r="F55" s="99">
        <v>46377.48999999999</v>
      </c>
      <c r="G55" s="99">
        <v>2433</v>
      </c>
      <c r="H55" s="99">
        <v>1232</v>
      </c>
      <c r="I55" s="99">
        <v>8530</v>
      </c>
      <c r="J55" s="99">
        <v>46946</v>
      </c>
      <c r="K55" s="99">
        <v>15203</v>
      </c>
      <c r="L55" s="99">
        <v>90341</v>
      </c>
      <c r="M55" s="99">
        <v>33105</v>
      </c>
      <c r="N55" s="99">
        <v>17855</v>
      </c>
      <c r="O55" s="99">
        <v>7500</v>
      </c>
      <c r="P55" s="99">
        <v>7500</v>
      </c>
      <c r="Q55" s="99">
        <v>903</v>
      </c>
      <c r="R55" s="99">
        <v>2170</v>
      </c>
      <c r="S55" s="99">
        <v>1807</v>
      </c>
      <c r="T55" s="99">
        <v>1251</v>
      </c>
      <c r="U55" s="99">
        <v>295</v>
      </c>
      <c r="V55" s="99">
        <v>1212</v>
      </c>
      <c r="W55" s="99">
        <v>2133</v>
      </c>
      <c r="X55" s="99">
        <v>4459</v>
      </c>
      <c r="Y55" s="99">
        <v>6039</v>
      </c>
      <c r="Z55" s="99">
        <v>3079</v>
      </c>
      <c r="AA55" s="99">
        <v>0</v>
      </c>
      <c r="AB55" s="99">
        <v>0</v>
      </c>
      <c r="AC55" s="99">
        <v>0</v>
      </c>
      <c r="AD55" s="98">
        <v>0</v>
      </c>
      <c r="AE55" s="101">
        <v>0.18287694810956667</v>
      </c>
      <c r="AF55" s="101">
        <v>0.09916140150567566</v>
      </c>
      <c r="AG55" s="98">
        <v>520.2085965913828</v>
      </c>
      <c r="AH55" s="98">
        <v>263.41840978240185</v>
      </c>
      <c r="AI55" s="101">
        <v>0.018238303859122465</v>
      </c>
      <c r="AJ55" s="101">
        <v>0.7612823714466408</v>
      </c>
      <c r="AK55" s="101">
        <v>0.7762177065250689</v>
      </c>
      <c r="AL55" s="101">
        <v>0.7823831504559665</v>
      </c>
      <c r="AM55" s="101">
        <v>0.5751389854065323</v>
      </c>
      <c r="AN55" s="101">
        <v>0.6003295003698473</v>
      </c>
      <c r="AO55" s="98">
        <v>1603.602332279232</v>
      </c>
      <c r="AP55" s="98">
        <v>0</v>
      </c>
      <c r="AQ55" s="101">
        <v>0.1204</v>
      </c>
      <c r="AR55" s="101">
        <v>0.4161290322580645</v>
      </c>
      <c r="AS55" s="98">
        <v>386.361255257143</v>
      </c>
      <c r="AT55" s="98">
        <v>267.4808690241759</v>
      </c>
      <c r="AU55" s="98">
        <v>63.0750250696498</v>
      </c>
      <c r="AV55" s="98">
        <v>259.1421368963239</v>
      </c>
      <c r="AW55" s="98">
        <v>456.0645033002136</v>
      </c>
      <c r="AX55" s="98">
        <v>953.3950399510794</v>
      </c>
      <c r="AY55" s="98">
        <v>1291.2205979512376</v>
      </c>
      <c r="AZ55" s="98">
        <v>658.3322108117007</v>
      </c>
      <c r="BA55" s="101">
        <v>0</v>
      </c>
      <c r="BB55" s="101">
        <v>0</v>
      </c>
      <c r="BC55" s="101">
        <v>0</v>
      </c>
      <c r="BD55" s="98">
        <v>0</v>
      </c>
      <c r="BE55" s="98">
        <v>0</v>
      </c>
      <c r="BF55" s="99">
        <v>61667</v>
      </c>
      <c r="BG55" s="99">
        <v>19586</v>
      </c>
      <c r="BH55" s="99">
        <v>115469</v>
      </c>
      <c r="BI55" s="99">
        <v>57560</v>
      </c>
      <c r="BJ55" s="99">
        <v>29742</v>
      </c>
      <c r="BK55" s="97"/>
      <c r="BL55" s="97"/>
      <c r="BM55" s="97"/>
      <c r="BN55" s="97"/>
    </row>
    <row r="56" spans="1:66" ht="12.75">
      <c r="A56" s="79" t="s">
        <v>24</v>
      </c>
      <c r="B56" s="94" t="s">
        <v>7</v>
      </c>
      <c r="C56" s="94" t="s">
        <v>7</v>
      </c>
      <c r="D56" s="99">
        <v>54615830</v>
      </c>
      <c r="E56" s="99">
        <v>8737890</v>
      </c>
      <c r="F56" s="99">
        <v>8198344.169999988</v>
      </c>
      <c r="G56" s="99">
        <v>243379</v>
      </c>
      <c r="H56" s="99">
        <v>127868</v>
      </c>
      <c r="I56" s="99">
        <v>870616</v>
      </c>
      <c r="J56" s="99">
        <v>4592627</v>
      </c>
      <c r="K56" s="99">
        <v>1679592</v>
      </c>
      <c r="L56" s="99">
        <v>10150944</v>
      </c>
      <c r="M56" s="99">
        <v>2959539</v>
      </c>
      <c r="N56" s="99">
        <v>1629320</v>
      </c>
      <c r="O56" s="99">
        <v>989730</v>
      </c>
      <c r="P56" s="99">
        <v>989730</v>
      </c>
      <c r="Q56" s="99">
        <v>108072</v>
      </c>
      <c r="R56" s="99">
        <v>238330</v>
      </c>
      <c r="S56" s="99">
        <v>206300</v>
      </c>
      <c r="T56" s="99">
        <v>154264</v>
      </c>
      <c r="U56" s="99">
        <v>38486</v>
      </c>
      <c r="V56" s="99">
        <v>176535</v>
      </c>
      <c r="W56" s="99">
        <v>307276</v>
      </c>
      <c r="X56" s="99">
        <v>221506</v>
      </c>
      <c r="Y56" s="99">
        <v>578574</v>
      </c>
      <c r="Z56" s="99">
        <v>318377</v>
      </c>
      <c r="AA56" s="99">
        <v>0</v>
      </c>
      <c r="AB56" s="99">
        <v>0</v>
      </c>
      <c r="AC56" s="99">
        <v>0</v>
      </c>
      <c r="AD56" s="98">
        <v>0</v>
      </c>
      <c r="AE56" s="101">
        <v>0.1599882305185145</v>
      </c>
      <c r="AF56" s="101">
        <v>0.15010930292554353</v>
      </c>
      <c r="AG56" s="98">
        <v>445.6198871279627</v>
      </c>
      <c r="AH56" s="98">
        <v>234.12259778895606</v>
      </c>
      <c r="AI56" s="101">
        <v>0.015940726342527432</v>
      </c>
      <c r="AJ56" s="101">
        <v>0.7248631360507991</v>
      </c>
      <c r="AK56" s="101">
        <v>0.7467412166569077</v>
      </c>
      <c r="AL56" s="101">
        <v>0.7559681673907895</v>
      </c>
      <c r="AM56" s="101">
        <v>0.5147293797466616</v>
      </c>
      <c r="AN56" s="101">
        <v>0.5752927626212945</v>
      </c>
      <c r="AO56" s="98">
        <v>1812.1669120472948</v>
      </c>
      <c r="AP56" s="98">
        <v>1</v>
      </c>
      <c r="AQ56" s="101">
        <v>0.10919341638628717</v>
      </c>
      <c r="AR56" s="101">
        <v>0.4534552930810221</v>
      </c>
      <c r="AS56" s="98">
        <v>377.7293140102421</v>
      </c>
      <c r="AT56" s="98">
        <v>282.45290788403287</v>
      </c>
      <c r="AU56" s="98">
        <v>70.46674929228394</v>
      </c>
      <c r="AV56" s="98">
        <v>323.23046266988894</v>
      </c>
      <c r="AW56" s="98">
        <v>562.6134400960308</v>
      </c>
      <c r="AX56" s="98">
        <v>405.57105879375996</v>
      </c>
      <c r="AY56" s="98">
        <v>1059.3522061277838</v>
      </c>
      <c r="AZ56" s="98">
        <v>582.9390489900089</v>
      </c>
      <c r="BA56" s="101">
        <v>0</v>
      </c>
      <c r="BB56" s="101">
        <v>0</v>
      </c>
      <c r="BC56" s="101">
        <v>0</v>
      </c>
      <c r="BD56" s="98">
        <v>0</v>
      </c>
      <c r="BE56" s="98">
        <v>0</v>
      </c>
      <c r="BF56" s="99">
        <v>6335854</v>
      </c>
      <c r="BG56" s="99">
        <v>2249229</v>
      </c>
      <c r="BH56" s="99">
        <v>13427740</v>
      </c>
      <c r="BI56" s="99">
        <v>5749699</v>
      </c>
      <c r="BJ56" s="99">
        <v>2832158</v>
      </c>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382</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338</v>
      </c>
      <c r="O4" s="75" t="s">
        <v>337</v>
      </c>
      <c r="P4" s="75" t="s">
        <v>464</v>
      </c>
      <c r="Q4" s="75" t="s">
        <v>465</v>
      </c>
      <c r="R4" s="75" t="s">
        <v>466</v>
      </c>
      <c r="S4" s="75" t="s">
        <v>467</v>
      </c>
      <c r="T4" s="39" t="s">
        <v>278</v>
      </c>
      <c r="U4" s="40" t="s">
        <v>279</v>
      </c>
      <c r="V4" s="41" t="s">
        <v>7</v>
      </c>
      <c r="W4" s="24" t="s">
        <v>2</v>
      </c>
      <c r="X4" s="24" t="s">
        <v>3</v>
      </c>
      <c r="Y4" s="75" t="s">
        <v>580</v>
      </c>
      <c r="Z4" s="75" t="s">
        <v>579</v>
      </c>
      <c r="AA4" s="26" t="s">
        <v>280</v>
      </c>
      <c r="AB4" s="24" t="s">
        <v>5</v>
      </c>
      <c r="AC4" s="75" t="s">
        <v>35</v>
      </c>
      <c r="AD4" s="24" t="s">
        <v>6</v>
      </c>
      <c r="AE4" s="24" t="s">
        <v>281</v>
      </c>
      <c r="AF4" s="24" t="s">
        <v>16</v>
      </c>
      <c r="AG4" s="24" t="s">
        <v>15</v>
      </c>
      <c r="AH4" s="24" t="s">
        <v>14</v>
      </c>
      <c r="AI4" s="25" t="s">
        <v>30</v>
      </c>
      <c r="AJ4" s="47" t="s">
        <v>10</v>
      </c>
      <c r="AK4" s="26" t="s">
        <v>21</v>
      </c>
      <c r="AL4" s="25" t="s">
        <v>22</v>
      </c>
      <c r="AQ4" s="102" t="s">
        <v>379</v>
      </c>
      <c r="AR4" s="102" t="s">
        <v>381</v>
      </c>
      <c r="AS4" s="102" t="s">
        <v>380</v>
      </c>
      <c r="AY4" s="102" t="s">
        <v>461</v>
      </c>
      <c r="AZ4" s="102" t="s">
        <v>462</v>
      </c>
      <c r="BA4" s="102" t="s">
        <v>463</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402</v>
      </c>
      <c r="BA5" s="103" t="s">
        <v>333</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387</v>
      </c>
      <c r="BA6" s="103" t="s">
        <v>333</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1211</v>
      </c>
      <c r="E7" s="38">
        <f>IF(LEFT(VLOOKUP($B7,'Indicator chart'!$D$1:$J$36,5,FALSE),1)=" "," ",VLOOKUP($B7,'Indicator chart'!$D$1:$J$36,5,FALSE))</f>
        <v>0.21609564596716632</v>
      </c>
      <c r="F7" s="38">
        <f>IF(LEFT(VLOOKUP($B7,'Indicator chart'!$D$1:$J$36,6,FALSE),1)=" "," ",VLOOKUP($B7,'Indicator chart'!$D$1:$J$36,6,FALSE))</f>
        <v>0.20551596963745364</v>
      </c>
      <c r="G7" s="38">
        <f>IF(LEFT(VLOOKUP($B7,'Indicator chart'!$D$1:$J$36,7,FALSE),1)=" "," ",VLOOKUP($B7,'Indicator chart'!$D$1:$J$36,7,FALSE))</f>
        <v>0.22706429439853487</v>
      </c>
      <c r="H7" s="50">
        <f aca="true" t="shared" si="0" ref="H7:H31">IF(LEFT(F7,1)=" ",4,IF(AND(ABS(N7-E7)&gt;SQRT((E7-G7)^2+(N7-R7)^2),E7&lt;N7),1,IF(AND(ABS(N7-E7)&gt;SQRT((E7-F7)^2+(N7-S7)^2),E7&gt;N7),3,2)))</f>
        <v>3</v>
      </c>
      <c r="I7" s="38">
        <v>0.10063233971595764</v>
      </c>
      <c r="J7" s="38">
        <v>0.1582217812538147</v>
      </c>
      <c r="K7" s="38">
        <v>0.1859143078327179</v>
      </c>
      <c r="L7" s="38">
        <v>0.205440953373909</v>
      </c>
      <c r="M7" s="38">
        <v>0.27033624053001404</v>
      </c>
      <c r="N7" s="80">
        <f>VLOOKUP('Hide - Control'!B$3,'All practice data'!A:CA,A7+29,FALSE)</f>
        <v>0.18287694810956667</v>
      </c>
      <c r="O7" s="80">
        <f>VLOOKUP('Hide - Control'!C$3,'All practice data'!A:CA,A7+29,FALSE)</f>
        <v>0.1599882305185145</v>
      </c>
      <c r="P7" s="38">
        <f>VLOOKUP('Hide - Control'!$B$4,'All practice data'!B:BC,A7+2,FALSE)</f>
        <v>85531</v>
      </c>
      <c r="Q7" s="38">
        <f>VLOOKUP('Hide - Control'!$B$4,'All practice data'!B:BC,3,FALSE)</f>
        <v>467697</v>
      </c>
      <c r="R7" s="38">
        <f>+((2*P7+1.96^2-1.96*SQRT(1.96^2+4*P7*(1-P7/Q7)))/(2*(Q7+1.96^2)))</f>
        <v>0.18177166348677035</v>
      </c>
      <c r="S7" s="38">
        <f>+((2*P7+1.96^2+1.96*SQRT(1.96^2+4*P7*(1-P7/Q7)))/(2*(Q7+1.96^2)))</f>
        <v>0.18398744230141992</v>
      </c>
      <c r="T7" s="53">
        <f>IF($C7=1,M7,I7)</f>
        <v>0.27033624053001404</v>
      </c>
      <c r="U7" s="51">
        <f aca="true" t="shared" si="1" ref="U7:U15">IF($C7=1,I7,M7)</f>
        <v>0.10063233971595764</v>
      </c>
      <c r="V7" s="7">
        <v>1</v>
      </c>
      <c r="W7" s="27">
        <f aca="true" t="shared" si="2" ref="W7:W31">IF((K7-I7)&gt;(M7-K7),I7,(K7-(M7-K7)))</f>
        <v>0.10063233971595764</v>
      </c>
      <c r="X7" s="27">
        <f aca="true" t="shared" si="3" ref="X7:X31">IF(W7=I7,K7+(K7-I7),M7)</f>
        <v>0.27119627594947815</v>
      </c>
      <c r="Y7" s="27">
        <f aca="true" t="shared" si="4" ref="Y7:Y31">IF(C7=1,W7,X7)</f>
        <v>0.10063233971595764</v>
      </c>
      <c r="Z7" s="27">
        <f aca="true" t="shared" si="5" ref="Z7:Z31">IF(C7=1,X7,W7)</f>
        <v>0.27119627594947815</v>
      </c>
      <c r="AA7" s="32">
        <f aca="true" t="shared" si="6" ref="AA7:AA31">IF(ISERROR(IF(C7=1,(I7-$Y7)/($Z7-$Y7),(U7-$Y7)/($Z7-$Y7))),"",IF(C7=1,(I7-$Y7)/($Z7-$Y7),(U7-$Y7)/($Z7-$Y7)))</f>
        <v>0</v>
      </c>
      <c r="AB7" s="33">
        <f aca="true" t="shared" si="7" ref="AB7:AB31">IF(ISERROR(IF(C7=1,(J7-$Y7)/($Z7-$Y7),(L7-$Y7)/($Z7-$Y7))),"",IF(C7=1,(J7-$Y7)/($Z7-$Y7),(L7-$Y7)/($Z7-$Y7)))</f>
        <v>0.3376413725525827</v>
      </c>
      <c r="AC7" s="33">
        <v>0.5</v>
      </c>
      <c r="AD7" s="33">
        <f aca="true" t="shared" si="8" ref="AD7:AD31">IF(ISERROR(IF(C7=1,(L7-$Y7)/($Z7-$Y7),(J7-$Y7)/($Z7-$Y7))),"",IF(C7=1,(L7-$Y7)/($Z7-$Y7),(J7-$Y7)/($Z7-$Y7)))</f>
        <v>0.6144828500818427</v>
      </c>
      <c r="AE7" s="33">
        <f aca="true" t="shared" si="9" ref="AE7:AE31">IF(ISERROR(IF(C7=1,(M7-$Y7)/($Z7-$Y7),(I7-$Y7)/($Z7-$Y7))),"",IF(C7=1,(M7-$Y7)/($Z7-$Y7),(I7-$Y7)/($Z7-$Y7)))</f>
        <v>0.9949576948184016</v>
      </c>
      <c r="AF7" s="33">
        <f aca="true" t="shared" si="10" ref="AF7:AF30">IF(E7=" ",-999,IF(H7=4,(E7-$Y7)/($Z7-$Y7),-999))</f>
        <v>-999</v>
      </c>
      <c r="AG7" s="33">
        <f aca="true" t="shared" si="11" ref="AG7:AG31">IF(E7=" ",-999,IF(H7=2,(E7-$Y7)/($Z7-$Y7),-999))</f>
        <v>-999</v>
      </c>
      <c r="AH7" s="33">
        <f aca="true" t="shared" si="12" ref="AH7:AH31">IF(E7=" ",-999,IF(MAX(AK7:AL7)&gt;-999,MAX(AK7:AL7),-999))</f>
        <v>0.6769502909051471</v>
      </c>
      <c r="AI7" s="34">
        <f aca="true" t="shared" si="13" ref="AI7:AI31">IF(ISERROR((O7-$Y7)/($Z7-$Y7)),-999,(O7-$Y7)/($Z7-$Y7))</f>
        <v>0.34799789517810026</v>
      </c>
      <c r="AJ7" s="4">
        <v>2.7020512924389086</v>
      </c>
      <c r="AK7" s="32">
        <f aca="true" t="shared" si="14" ref="AK7:AK31">IF(H7=1,(E7-$Y7)/($Z7-$Y7),-999)</f>
        <v>-999</v>
      </c>
      <c r="AL7" s="34">
        <f aca="true" t="shared" si="15" ref="AL7:AL31">IF(H7=3,(E7-$Y7)/($Z7-$Y7),-999)</f>
        <v>0.6769502909051471</v>
      </c>
      <c r="AQ7" s="103">
        <v>2</v>
      </c>
      <c r="AR7" s="103">
        <v>0.2422</v>
      </c>
      <c r="AS7" s="103">
        <v>7.2247</v>
      </c>
      <c r="AY7" s="103" t="s">
        <v>68</v>
      </c>
      <c r="AZ7" s="103" t="s">
        <v>386</v>
      </c>
      <c r="BA7" s="103" t="s">
        <v>333</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0.09241725155870875</v>
      </c>
      <c r="G8" s="38">
        <f>IF(LEFT(VLOOKUP($B8,'Indicator chart'!$D$1:$J$36,7,FALSE),1)=" "," ",VLOOKUP($B8,'Indicator chart'!$D$1:$J$36,7,FALSE))</f>
        <v>0.10813078103907361</v>
      </c>
      <c r="H8" s="50">
        <f t="shared" si="0"/>
        <v>2</v>
      </c>
      <c r="I8" s="38">
        <v>0.03999999910593033</v>
      </c>
      <c r="J8" s="38">
        <v>0.07000000029802322</v>
      </c>
      <c r="K8" s="38">
        <v>0.09000000357627869</v>
      </c>
      <c r="L8" s="38">
        <v>0.11500000208616257</v>
      </c>
      <c r="M8" s="38">
        <v>0.20999999344348907</v>
      </c>
      <c r="N8" s="80">
        <f>VLOOKUP('Hide - Control'!B$3,'All practice data'!A:CA,A8+29,FALSE)</f>
        <v>0.09916140150567566</v>
      </c>
      <c r="O8" s="80">
        <f>VLOOKUP('Hide - Control'!C$3,'All practice data'!A:CA,A8+29,FALSE)</f>
        <v>0.15010930292554353</v>
      </c>
      <c r="P8" s="38">
        <f>VLOOKUP('Hide - Control'!$B$4,'All practice data'!B:BC,A8+2,FALSE)</f>
        <v>46377.48999999999</v>
      </c>
      <c r="Q8" s="38">
        <f>VLOOKUP('Hide - Control'!$B$4,'All practice data'!B:BC,3,FALSE)</f>
        <v>467697</v>
      </c>
      <c r="R8" s="38">
        <f>+((2*P8+1.96^2-1.96*SQRT(1.96^2+4*P8*(1-P8/Q8)))/(2*(Q8+1.96^2)))</f>
        <v>0.09830810978064575</v>
      </c>
      <c r="S8" s="38">
        <f>+((2*P8+1.96^2+1.96*SQRT(1.96^2+4*P8*(1-P8/Q8)))/(2*(Q8+1.96^2)))</f>
        <v>0.10002127804485605</v>
      </c>
      <c r="T8" s="53">
        <f aca="true" t="shared" si="16" ref="T8:T15">IF($C8=1,M8,I8)</f>
        <v>0.20999999344348907</v>
      </c>
      <c r="U8" s="51">
        <f t="shared" si="1"/>
        <v>0.03999999910593033</v>
      </c>
      <c r="V8" s="7"/>
      <c r="W8" s="27">
        <f t="shared" si="2"/>
        <v>-0.0299999862909317</v>
      </c>
      <c r="X8" s="27">
        <f t="shared" si="3"/>
        <v>0.20999999344348907</v>
      </c>
      <c r="Y8" s="27">
        <f t="shared" si="4"/>
        <v>-0.0299999862909317</v>
      </c>
      <c r="Z8" s="27">
        <f t="shared" si="5"/>
        <v>0.20999999344348907</v>
      </c>
      <c r="AA8" s="32">
        <f t="shared" si="6"/>
        <v>0.2916666304485635</v>
      </c>
      <c r="AB8" s="33">
        <f t="shared" si="7"/>
        <v>0.4166666459706077</v>
      </c>
      <c r="AC8" s="33">
        <v>0.5</v>
      </c>
      <c r="AD8" s="33">
        <f t="shared" si="8"/>
        <v>0.604166669253674</v>
      </c>
      <c r="AE8" s="33">
        <f t="shared" si="9"/>
        <v>1</v>
      </c>
      <c r="AF8" s="33">
        <f t="shared" si="10"/>
        <v>-999</v>
      </c>
      <c r="AG8" s="33">
        <f t="shared" si="11"/>
        <v>0.5416666552838343</v>
      </c>
      <c r="AH8" s="33">
        <f t="shared" si="12"/>
        <v>-999</v>
      </c>
      <c r="AI8" s="34">
        <f t="shared" si="13"/>
        <v>0.7504554351037055</v>
      </c>
      <c r="AJ8" s="4">
        <v>3.778046717820832</v>
      </c>
      <c r="AK8" s="32">
        <f t="shared" si="14"/>
        <v>-999</v>
      </c>
      <c r="AL8" s="34">
        <f t="shared" si="15"/>
        <v>-999</v>
      </c>
      <c r="AQ8" s="103">
        <v>3</v>
      </c>
      <c r="AR8" s="103">
        <v>0.6187</v>
      </c>
      <c r="AS8" s="103">
        <v>8.7673</v>
      </c>
      <c r="AY8" s="103" t="s">
        <v>118</v>
      </c>
      <c r="AZ8" s="103" t="s">
        <v>119</v>
      </c>
      <c r="BA8" s="103" t="s">
        <v>333</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27</v>
      </c>
      <c r="E9" s="38">
        <f>IF(LEFT(VLOOKUP($B9,'Indicator chart'!$D$1:$J$36,5,FALSE),1)=" "," ",VLOOKUP($B9,'Indicator chart'!$D$1:$J$36,5,FALSE))</f>
        <v>481.7987152034261</v>
      </c>
      <c r="F9" s="38">
        <f>IF(LEFT(VLOOKUP($B9,'Indicator chart'!$D$1:$J$36,6,FALSE),1)=" "," ",VLOOKUP($B9,'Indicator chart'!$D$1:$J$36,6,FALSE))</f>
        <v>317.43081324191064</v>
      </c>
      <c r="G9" s="38">
        <f>IF(LEFT(VLOOKUP($B9,'Indicator chart'!$D$1:$J$36,7,FALSE),1)=" "," ",VLOOKUP($B9,'Indicator chart'!$D$1:$J$36,7,FALSE))</f>
        <v>701.0231533329486</v>
      </c>
      <c r="H9" s="50">
        <f t="shared" si="0"/>
        <v>2</v>
      </c>
      <c r="I9" s="38">
        <v>239.39064025878906</v>
      </c>
      <c r="J9" s="38">
        <v>438.4656982421875</v>
      </c>
      <c r="K9" s="38">
        <v>511.0007019042969</v>
      </c>
      <c r="L9" s="38">
        <v>591.3527221679688</v>
      </c>
      <c r="M9" s="38">
        <v>752.303955078125</v>
      </c>
      <c r="N9" s="80">
        <f>VLOOKUP('Hide - Control'!B$3,'All practice data'!A:CA,A9+29,FALSE)</f>
        <v>520.2085965913828</v>
      </c>
      <c r="O9" s="80">
        <f>VLOOKUP('Hide - Control'!C$3,'All practice data'!A:CA,A9+29,FALSE)</f>
        <v>445.6198871279627</v>
      </c>
      <c r="P9" s="38">
        <f>VLOOKUP('Hide - Control'!$B$4,'All practice data'!B:BC,A9+2,FALSE)</f>
        <v>2433</v>
      </c>
      <c r="Q9" s="38">
        <f>VLOOKUP('Hide - Control'!$B$4,'All practice data'!B:BC,3,FALSE)</f>
        <v>467697</v>
      </c>
      <c r="R9" s="38">
        <f>100000*(P9*(1-1/(9*P9)-1.96/(3*SQRT(P9)))^3)/Q9</f>
        <v>499.74074057015997</v>
      </c>
      <c r="S9" s="38">
        <f>100000*((P9+1)*(1-1/(9*(P9+1))+1.96/(3*SQRT(P9+1)))^3)/Q9</f>
        <v>541.2995440915653</v>
      </c>
      <c r="T9" s="53">
        <f t="shared" si="16"/>
        <v>752.303955078125</v>
      </c>
      <c r="U9" s="51">
        <f t="shared" si="1"/>
        <v>239.39064025878906</v>
      </c>
      <c r="V9" s="7"/>
      <c r="W9" s="27">
        <f t="shared" si="2"/>
        <v>239.39064025878906</v>
      </c>
      <c r="X9" s="27">
        <f t="shared" si="3"/>
        <v>782.6107635498047</v>
      </c>
      <c r="Y9" s="27">
        <f t="shared" si="4"/>
        <v>239.39064025878906</v>
      </c>
      <c r="Z9" s="27">
        <f t="shared" si="5"/>
        <v>782.6107635498047</v>
      </c>
      <c r="AA9" s="32">
        <f t="shared" si="6"/>
        <v>0</v>
      </c>
      <c r="AB9" s="33">
        <f t="shared" si="7"/>
        <v>0.3664721711289574</v>
      </c>
      <c r="AC9" s="33">
        <v>0.5</v>
      </c>
      <c r="AD9" s="33">
        <f t="shared" si="8"/>
        <v>0.6479179743505662</v>
      </c>
      <c r="AE9" s="33">
        <f t="shared" si="9"/>
        <v>0.9442089731726606</v>
      </c>
      <c r="AF9" s="33">
        <f t="shared" si="10"/>
        <v>-999</v>
      </c>
      <c r="AG9" s="33">
        <f t="shared" si="11"/>
        <v>0.4462428112494158</v>
      </c>
      <c r="AH9" s="33">
        <f t="shared" si="12"/>
        <v>-999</v>
      </c>
      <c r="AI9" s="34">
        <f t="shared" si="13"/>
        <v>0.37964213405748937</v>
      </c>
      <c r="AJ9" s="4">
        <v>4.854042143202755</v>
      </c>
      <c r="AK9" s="32">
        <f t="shared" si="14"/>
        <v>-999</v>
      </c>
      <c r="AL9" s="34">
        <f t="shared" si="15"/>
        <v>-999</v>
      </c>
      <c r="AQ9" s="103">
        <v>4</v>
      </c>
      <c r="AR9" s="103">
        <v>1.0899</v>
      </c>
      <c r="AS9" s="103">
        <v>10.2416</v>
      </c>
      <c r="AY9" s="103" t="s">
        <v>90</v>
      </c>
      <c r="AZ9" s="103" t="s">
        <v>396</v>
      </c>
      <c r="BA9" s="103" t="s">
        <v>333</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16</v>
      </c>
      <c r="E10" s="38">
        <f>IF(LEFT(VLOOKUP($B10,'Indicator chart'!$D$1:$J$36,5,FALSE),1)=" "," ",VLOOKUP($B10,'Indicator chart'!$D$1:$J$36,5,FALSE))</f>
        <v>285.5103497501784</v>
      </c>
      <c r="F10" s="38">
        <f>IF(LEFT(VLOOKUP($B10,'Indicator chart'!$D$1:$J$36,6,FALSE),1)=" "," ",VLOOKUP($B10,'Indicator chart'!$D$1:$J$36,6,FALSE))</f>
        <v>163.08725446819787</v>
      </c>
      <c r="G10" s="38">
        <f>IF(LEFT(VLOOKUP($B10,'Indicator chart'!$D$1:$J$36,7,FALSE),1)=" "," ",VLOOKUP($B10,'Indicator chart'!$D$1:$J$36,7,FALSE))</f>
        <v>463.6801433877925</v>
      </c>
      <c r="H10" s="50">
        <f t="shared" si="0"/>
        <v>2</v>
      </c>
      <c r="I10" s="38">
        <v>44.173431396484375</v>
      </c>
      <c r="J10" s="38">
        <v>203.4212188720703</v>
      </c>
      <c r="K10" s="38">
        <v>269.69482421875</v>
      </c>
      <c r="L10" s="38">
        <v>308.54156494140625</v>
      </c>
      <c r="M10" s="38">
        <v>420.4469909667969</v>
      </c>
      <c r="N10" s="80">
        <f>VLOOKUP('Hide - Control'!B$3,'All practice data'!A:CA,A10+29,FALSE)</f>
        <v>263.41840978240185</v>
      </c>
      <c r="O10" s="80">
        <f>VLOOKUP('Hide - Control'!C$3,'All practice data'!A:CA,A10+29,FALSE)</f>
        <v>234.12259778895606</v>
      </c>
      <c r="P10" s="38">
        <f>VLOOKUP('Hide - Control'!$B$4,'All practice data'!B:BC,A10+2,FALSE)</f>
        <v>1232</v>
      </c>
      <c r="Q10" s="38">
        <f>VLOOKUP('Hide - Control'!$B$4,'All practice data'!B:BC,3,FALSE)</f>
        <v>467697</v>
      </c>
      <c r="R10" s="38">
        <f>100000*(P10*(1-1/(9*P10)-1.96/(3*SQRT(P10)))^3)/Q10</f>
        <v>248.91240635757885</v>
      </c>
      <c r="S10" s="38">
        <f>100000*((P10+1)*(1-1/(9*(P10+1))+1.96/(3*SQRT(P10+1)))^3)/Q10</f>
        <v>278.54920782935557</v>
      </c>
      <c r="T10" s="53">
        <f t="shared" si="16"/>
        <v>420.4469909667969</v>
      </c>
      <c r="U10" s="51">
        <f t="shared" si="1"/>
        <v>44.173431396484375</v>
      </c>
      <c r="V10" s="7"/>
      <c r="W10" s="27">
        <f t="shared" si="2"/>
        <v>44.173431396484375</v>
      </c>
      <c r="X10" s="27">
        <f t="shared" si="3"/>
        <v>495.2162170410156</v>
      </c>
      <c r="Y10" s="27">
        <f t="shared" si="4"/>
        <v>44.173431396484375</v>
      </c>
      <c r="Z10" s="27">
        <f t="shared" si="5"/>
        <v>495.2162170410156</v>
      </c>
      <c r="AA10" s="32">
        <f t="shared" si="6"/>
        <v>0</v>
      </c>
      <c r="AB10" s="33">
        <f t="shared" si="7"/>
        <v>0.3530658122555358</v>
      </c>
      <c r="AC10" s="33">
        <v>0.5</v>
      </c>
      <c r="AD10" s="33">
        <f t="shared" si="8"/>
        <v>0.5861265094111748</v>
      </c>
      <c r="AE10" s="33">
        <f t="shared" si="9"/>
        <v>0.8342303026366445</v>
      </c>
      <c r="AF10" s="33">
        <f t="shared" si="10"/>
        <v>-999</v>
      </c>
      <c r="AG10" s="33">
        <f t="shared" si="11"/>
        <v>0.5350643576059605</v>
      </c>
      <c r="AH10" s="33">
        <f t="shared" si="12"/>
        <v>-999</v>
      </c>
      <c r="AI10" s="34">
        <f t="shared" si="13"/>
        <v>0.4211333656984183</v>
      </c>
      <c r="AJ10" s="4">
        <v>5.930037568584676</v>
      </c>
      <c r="AK10" s="32">
        <f t="shared" si="14"/>
        <v>-999</v>
      </c>
      <c r="AL10" s="34">
        <f t="shared" si="15"/>
        <v>-999</v>
      </c>
      <c r="AY10" s="103" t="s">
        <v>96</v>
      </c>
      <c r="AZ10" s="103" t="s">
        <v>97</v>
      </c>
      <c r="BA10" s="103" t="s">
        <v>514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109</v>
      </c>
      <c r="E11" s="38">
        <f>IF(LEFT(VLOOKUP($B11,'Indicator chart'!$D$1:$J$36,5,FALSE),1)=" "," ",VLOOKUP($B11,'Indicator chart'!$D$1:$J$36,5,FALSE))</f>
        <v>0.019</v>
      </c>
      <c r="F11" s="38">
        <f>IF(LEFT(VLOOKUP($B11,'Indicator chart'!$D$1:$J$36,6,FALSE),1)=" "," ",VLOOKUP($B11,'Indicator chart'!$D$1:$J$36,6,FALSE))</f>
        <v>0.01615005445069941</v>
      </c>
      <c r="G11" s="38">
        <f>IF(LEFT(VLOOKUP($B11,'Indicator chart'!$D$1:$J$36,7,FALSE),1)=" "," ",VLOOKUP($B11,'Indicator chart'!$D$1:$J$36,7,FALSE))</f>
        <v>0.023409122827061073</v>
      </c>
      <c r="H11" s="50">
        <f t="shared" si="0"/>
        <v>2</v>
      </c>
      <c r="I11" s="38">
        <v>0.009999999776482582</v>
      </c>
      <c r="J11" s="38">
        <v>0.014999999664723873</v>
      </c>
      <c r="K11" s="38">
        <v>0.01899999938905239</v>
      </c>
      <c r="L11" s="38">
        <v>0.020999999716877937</v>
      </c>
      <c r="M11" s="38">
        <v>0.028999999165534973</v>
      </c>
      <c r="N11" s="80">
        <f>VLOOKUP('Hide - Control'!B$3,'All practice data'!A:CA,A11+29,FALSE)</f>
        <v>0.018238303859122465</v>
      </c>
      <c r="O11" s="80">
        <f>VLOOKUP('Hide - Control'!C$3,'All practice data'!A:CA,A11+29,FALSE)</f>
        <v>0.015940726342527432</v>
      </c>
      <c r="P11" s="38">
        <f>VLOOKUP('Hide - Control'!$B$4,'All practice data'!B:BC,A11+2,FALSE)</f>
        <v>8530</v>
      </c>
      <c r="Q11" s="38">
        <f>VLOOKUP('Hide - Control'!$B$4,'All practice data'!B:BC,3,FALSE)</f>
        <v>467697</v>
      </c>
      <c r="R11" s="80">
        <f aca="true" t="shared" si="17" ref="R11:R16">+((2*P11+1.96^2-1.96*SQRT(1.96^2+4*P11*(1-P11/Q11)))/(2*(Q11+1.96^2)))</f>
        <v>0.017858738865956854</v>
      </c>
      <c r="S11" s="80">
        <f aca="true" t="shared" si="18" ref="S11:S16">+((2*P11+1.96^2+1.96*SQRT(1.96^2+4*P11*(1-P11/Q11)))/(2*(Q11+1.96^2)))</f>
        <v>0.01862578303831162</v>
      </c>
      <c r="T11" s="53">
        <f t="shared" si="16"/>
        <v>0.028999999165534973</v>
      </c>
      <c r="U11" s="51">
        <f t="shared" si="1"/>
        <v>0.009999999776482582</v>
      </c>
      <c r="V11" s="7"/>
      <c r="W11" s="27">
        <f t="shared" si="2"/>
        <v>0.008999999612569809</v>
      </c>
      <c r="X11" s="27">
        <f t="shared" si="3"/>
        <v>0.028999999165534973</v>
      </c>
      <c r="Y11" s="27">
        <f t="shared" si="4"/>
        <v>0.008999999612569809</v>
      </c>
      <c r="Z11" s="27">
        <f t="shared" si="5"/>
        <v>0.028999999165534973</v>
      </c>
      <c r="AA11" s="32">
        <f t="shared" si="6"/>
        <v>0.05000000931322596</v>
      </c>
      <c r="AB11" s="33">
        <f t="shared" si="7"/>
        <v>0.30000000931322596</v>
      </c>
      <c r="AC11" s="33">
        <v>0.5</v>
      </c>
      <c r="AD11" s="33">
        <f t="shared" si="8"/>
        <v>0.6000000186264519</v>
      </c>
      <c r="AE11" s="33">
        <f t="shared" si="9"/>
        <v>1</v>
      </c>
      <c r="AF11" s="33">
        <f t="shared" si="10"/>
        <v>-999</v>
      </c>
      <c r="AG11" s="33">
        <f t="shared" si="11"/>
        <v>0.5000000305473811</v>
      </c>
      <c r="AH11" s="33">
        <f t="shared" si="12"/>
        <v>-999</v>
      </c>
      <c r="AI11" s="34">
        <f t="shared" si="13"/>
        <v>0.34703634425474794</v>
      </c>
      <c r="AJ11" s="4">
        <v>7.0060329939666</v>
      </c>
      <c r="AK11" s="32">
        <f t="shared" si="14"/>
        <v>-999</v>
      </c>
      <c r="AL11" s="34">
        <f t="shared" si="15"/>
        <v>-999</v>
      </c>
      <c r="AY11" s="103" t="s">
        <v>214</v>
      </c>
      <c r="AZ11" s="103" t="s">
        <v>215</v>
      </c>
      <c r="BA11" s="103" t="s">
        <v>514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534</v>
      </c>
      <c r="E12" s="38">
        <f>IF(LEFT(VLOOKUP($B12,'Indicator chart'!$D$1:$J$36,5,FALSE),1)=" "," ",VLOOKUP($B12,'Indicator chart'!$D$1:$J$36,5,FALSE))</f>
        <v>0.724559</v>
      </c>
      <c r="F12" s="38">
        <f>IF(LEFT(VLOOKUP($B12,'Indicator chart'!$D$1:$J$36,6,FALSE),1)=" "," ",VLOOKUP($B12,'Indicator chart'!$D$1:$J$36,6,FALSE))</f>
        <v>0.6912039971103013</v>
      </c>
      <c r="G12" s="38">
        <f>IF(LEFT(VLOOKUP($B12,'Indicator chart'!$D$1:$J$36,7,FALSE),1)=" "," ",VLOOKUP($B12,'Indicator chart'!$D$1:$J$36,7,FALSE))</f>
        <v>0.7555851680769667</v>
      </c>
      <c r="H12" s="50">
        <f t="shared" si="0"/>
        <v>1</v>
      </c>
      <c r="I12" s="38">
        <v>0.6358789801597595</v>
      </c>
      <c r="J12" s="38">
        <v>0.7243810296058655</v>
      </c>
      <c r="K12" s="38">
        <v>0.7539939880371094</v>
      </c>
      <c r="L12" s="38">
        <v>0.7835040092468262</v>
      </c>
      <c r="M12" s="38">
        <v>0.8408660292625427</v>
      </c>
      <c r="N12" s="80">
        <f>VLOOKUP('Hide - Control'!B$3,'All practice data'!A:CA,A12+29,FALSE)</f>
        <v>0.7612823714466408</v>
      </c>
      <c r="O12" s="80">
        <f>VLOOKUP('Hide - Control'!C$3,'All practice data'!A:CA,A12+29,FALSE)</f>
        <v>0.7248631360507991</v>
      </c>
      <c r="P12" s="38">
        <f>VLOOKUP('Hide - Control'!$B$4,'All practice data'!B:BC,A12+2,FALSE)</f>
        <v>46946</v>
      </c>
      <c r="Q12" s="38">
        <f>VLOOKUP('Hide - Control'!$B$4,'All practice data'!B:BJ,57,FALSE)</f>
        <v>61667</v>
      </c>
      <c r="R12" s="38">
        <f t="shared" si="17"/>
        <v>0.7579014731254672</v>
      </c>
      <c r="S12" s="38">
        <f t="shared" si="18"/>
        <v>0.7646307181654005</v>
      </c>
      <c r="T12" s="53">
        <f t="shared" si="16"/>
        <v>0.8408660292625427</v>
      </c>
      <c r="U12" s="51">
        <f t="shared" si="1"/>
        <v>0.6358789801597595</v>
      </c>
      <c r="V12" s="7"/>
      <c r="W12" s="27">
        <f t="shared" si="2"/>
        <v>0.6358789801597595</v>
      </c>
      <c r="X12" s="27">
        <f t="shared" si="3"/>
        <v>0.8721089959144592</v>
      </c>
      <c r="Y12" s="27">
        <f t="shared" si="4"/>
        <v>0.6358789801597595</v>
      </c>
      <c r="Z12" s="27">
        <f t="shared" si="5"/>
        <v>0.8721089959144592</v>
      </c>
      <c r="AA12" s="32">
        <f t="shared" si="6"/>
        <v>0</v>
      </c>
      <c r="AB12" s="33">
        <f t="shared" si="7"/>
        <v>0.3746435403789082</v>
      </c>
      <c r="AC12" s="33">
        <v>0.5</v>
      </c>
      <c r="AD12" s="33">
        <f t="shared" si="8"/>
        <v>0.6249207096542714</v>
      </c>
      <c r="AE12" s="33">
        <f t="shared" si="9"/>
        <v>0.8677434510085328</v>
      </c>
      <c r="AF12" s="33">
        <f t="shared" si="10"/>
        <v>-999</v>
      </c>
      <c r="AG12" s="33">
        <f t="shared" si="11"/>
        <v>-999</v>
      </c>
      <c r="AH12" s="33">
        <f t="shared" si="12"/>
        <v>0.3753969179442692</v>
      </c>
      <c r="AI12" s="34">
        <f t="shared" si="13"/>
        <v>0.37668437521267567</v>
      </c>
      <c r="AJ12" s="4">
        <v>8.082028419348523</v>
      </c>
      <c r="AK12" s="32">
        <f t="shared" si="14"/>
        <v>0.3753969179442692</v>
      </c>
      <c r="AL12" s="34">
        <f t="shared" si="15"/>
        <v>-999</v>
      </c>
      <c r="AY12" s="103" t="s">
        <v>261</v>
      </c>
      <c r="AZ12" s="103" t="s">
        <v>449</v>
      </c>
      <c r="BA12" s="103" t="s">
        <v>333</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v>
      </c>
      <c r="E13" s="38">
        <f>IF(LEFT(VLOOKUP($B13,'Indicator chart'!$D$1:$J$36,5,FALSE),1)=" "," ",VLOOKUP($B13,'Indicator chart'!$D$1:$J$36,5,FALSE))</f>
        <v>0.578947</v>
      </c>
      <c r="F13" s="38">
        <f>IF(LEFT(VLOOKUP($B13,'Indicator chart'!$D$1:$J$36,6,FALSE),1)=" "," ",VLOOKUP($B13,'Indicator chart'!$D$1:$J$36,6,FALSE))</f>
        <v>0.3627555146516011</v>
      </c>
      <c r="G13" s="38">
        <f>IF(LEFT(VLOOKUP($B13,'Indicator chart'!$D$1:$J$36,7,FALSE),1)=" "," ",VLOOKUP($B13,'Indicator chart'!$D$1:$J$36,7,FALSE))</f>
        <v>0.7685837960796962</v>
      </c>
      <c r="H13" s="50">
        <f t="shared" si="0"/>
        <v>1</v>
      </c>
      <c r="I13" s="38">
        <v>0.2857140004634857</v>
      </c>
      <c r="J13" s="38">
        <v>0.5894734859466553</v>
      </c>
      <c r="K13" s="38">
        <v>0.7225229740142822</v>
      </c>
      <c r="L13" s="38">
        <v>0.7996364831924438</v>
      </c>
      <c r="M13" s="38">
        <v>1</v>
      </c>
      <c r="N13" s="80">
        <f>VLOOKUP('Hide - Control'!B$3,'All practice data'!A:CA,A13+29,FALSE)</f>
        <v>0.7762177065250689</v>
      </c>
      <c r="O13" s="80">
        <f>VLOOKUP('Hide - Control'!C$3,'All practice data'!A:CA,A13+29,FALSE)</f>
        <v>0.7467412166569077</v>
      </c>
      <c r="P13" s="38">
        <f>VLOOKUP('Hide - Control'!$B$4,'All practice data'!B:BC,A13+2,FALSE)</f>
        <v>15203</v>
      </c>
      <c r="Q13" s="38">
        <f>VLOOKUP('Hide - Control'!$B$4,'All practice data'!B:BJ,58,FALSE)</f>
        <v>19586</v>
      </c>
      <c r="R13" s="38">
        <f t="shared" si="17"/>
        <v>0.7703268858320295</v>
      </c>
      <c r="S13" s="38">
        <f t="shared" si="18"/>
        <v>0.782000193729451</v>
      </c>
      <c r="T13" s="53">
        <f t="shared" si="16"/>
        <v>1</v>
      </c>
      <c r="U13" s="51">
        <f t="shared" si="1"/>
        <v>0.2857140004634857</v>
      </c>
      <c r="V13" s="7"/>
      <c r="W13" s="27">
        <f t="shared" si="2"/>
        <v>0.2857140004634857</v>
      </c>
      <c r="X13" s="27">
        <f t="shared" si="3"/>
        <v>1.1593319475650787</v>
      </c>
      <c r="Y13" s="27">
        <f t="shared" si="4"/>
        <v>0.2857140004634857</v>
      </c>
      <c r="Z13" s="27">
        <f t="shared" si="5"/>
        <v>1.1593319475650787</v>
      </c>
      <c r="AA13" s="32">
        <f t="shared" si="6"/>
        <v>0</v>
      </c>
      <c r="AB13" s="33">
        <f t="shared" si="7"/>
        <v>0.3477028905953158</v>
      </c>
      <c r="AC13" s="33">
        <v>0.5</v>
      </c>
      <c r="AD13" s="33">
        <f t="shared" si="8"/>
        <v>0.588269144920845</v>
      </c>
      <c r="AE13" s="33">
        <f t="shared" si="9"/>
        <v>0.8176182757077104</v>
      </c>
      <c r="AF13" s="33">
        <f t="shared" si="10"/>
        <v>-999</v>
      </c>
      <c r="AG13" s="33">
        <f t="shared" si="11"/>
        <v>-999</v>
      </c>
      <c r="AH13" s="33">
        <f t="shared" si="12"/>
        <v>0.33565358920266575</v>
      </c>
      <c r="AI13" s="34">
        <f t="shared" si="13"/>
        <v>0.5277217778354651</v>
      </c>
      <c r="AJ13" s="4">
        <v>9.158023844730446</v>
      </c>
      <c r="AK13" s="32">
        <f t="shared" si="14"/>
        <v>0.33565358920266575</v>
      </c>
      <c r="AL13" s="34">
        <f t="shared" si="15"/>
        <v>-999</v>
      </c>
      <c r="AY13" s="103" t="s">
        <v>260</v>
      </c>
      <c r="AZ13" s="103" t="s">
        <v>448</v>
      </c>
      <c r="BA13" s="103" t="s">
        <v>333</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1022</v>
      </c>
      <c r="E14" s="38">
        <f>IF(LEFT(VLOOKUP($B14,'Indicator chart'!$D$1:$J$36,5,FALSE),1)=" "," ",VLOOKUP($B14,'Indicator chart'!$D$1:$J$36,5,FALSE))</f>
        <v>0.748718</v>
      </c>
      <c r="F14" s="38">
        <f>IF(LEFT(VLOOKUP($B14,'Indicator chart'!$D$1:$J$36,6,FALSE),1)=" "," ",VLOOKUP($B14,'Indicator chart'!$D$1:$J$36,6,FALSE))</f>
        <v>0.725030956233968</v>
      </c>
      <c r="G14" s="38">
        <f>IF(LEFT(VLOOKUP($B14,'Indicator chart'!$D$1:$J$36,7,FALSE),1)=" "," ",VLOOKUP($B14,'Indicator chart'!$D$1:$J$36,7,FALSE))</f>
        <v>0.771008906961306</v>
      </c>
      <c r="H14" s="50">
        <f t="shared" si="0"/>
        <v>1</v>
      </c>
      <c r="I14" s="38">
        <v>0.6737930178642273</v>
      </c>
      <c r="J14" s="38">
        <v>0.7603604793548584</v>
      </c>
      <c r="K14" s="38">
        <v>0.7867599725723267</v>
      </c>
      <c r="L14" s="38">
        <v>0.811446487903595</v>
      </c>
      <c r="M14" s="38">
        <v>0.8694499731063843</v>
      </c>
      <c r="N14" s="80">
        <f>VLOOKUP('Hide - Control'!B$3,'All practice data'!A:CA,A14+29,FALSE)</f>
        <v>0.7823831504559665</v>
      </c>
      <c r="O14" s="80">
        <f>VLOOKUP('Hide - Control'!C$3,'All practice data'!A:CA,A14+29,FALSE)</f>
        <v>0.7559681673907895</v>
      </c>
      <c r="P14" s="38">
        <f>VLOOKUP('Hide - Control'!$B$4,'All practice data'!B:BC,A14+2,FALSE)</f>
        <v>90341</v>
      </c>
      <c r="Q14" s="38">
        <f>VLOOKUP('Hide - Control'!$B$4,'All practice data'!B:BJ,59,FALSE)</f>
        <v>115469</v>
      </c>
      <c r="R14" s="38">
        <f t="shared" si="17"/>
        <v>0.7799937638224754</v>
      </c>
      <c r="S14" s="38">
        <f t="shared" si="18"/>
        <v>0.7847537482020318</v>
      </c>
      <c r="T14" s="53">
        <f t="shared" si="16"/>
        <v>0.8694499731063843</v>
      </c>
      <c r="U14" s="51">
        <f t="shared" si="1"/>
        <v>0.6737930178642273</v>
      </c>
      <c r="V14" s="7"/>
      <c r="W14" s="27">
        <f t="shared" si="2"/>
        <v>0.6737930178642273</v>
      </c>
      <c r="X14" s="27">
        <f t="shared" si="3"/>
        <v>0.899726927280426</v>
      </c>
      <c r="Y14" s="27">
        <f t="shared" si="4"/>
        <v>0.6737930178642273</v>
      </c>
      <c r="Z14" s="27">
        <f t="shared" si="5"/>
        <v>0.899726927280426</v>
      </c>
      <c r="AA14" s="32">
        <f t="shared" si="6"/>
        <v>0</v>
      </c>
      <c r="AB14" s="33">
        <f t="shared" si="7"/>
        <v>0.3831539130815593</v>
      </c>
      <c r="AC14" s="33">
        <v>0.5</v>
      </c>
      <c r="AD14" s="33">
        <f t="shared" si="8"/>
        <v>0.6092643215666783</v>
      </c>
      <c r="AE14" s="33">
        <f t="shared" si="9"/>
        <v>0.865991987425545</v>
      </c>
      <c r="AF14" s="33">
        <f t="shared" si="10"/>
        <v>-999</v>
      </c>
      <c r="AG14" s="33">
        <f t="shared" si="11"/>
        <v>-999</v>
      </c>
      <c r="AH14" s="33">
        <f t="shared" si="12"/>
        <v>0.331623448332191</v>
      </c>
      <c r="AI14" s="34">
        <f t="shared" si="13"/>
        <v>0.3637132192281295</v>
      </c>
      <c r="AJ14" s="4">
        <v>10.234019270112368</v>
      </c>
      <c r="AK14" s="32">
        <f t="shared" si="14"/>
        <v>0.331623448332191</v>
      </c>
      <c r="AL14" s="34">
        <f t="shared" si="15"/>
        <v>-999</v>
      </c>
      <c r="AY14" s="103" t="s">
        <v>53</v>
      </c>
      <c r="AZ14" s="103" t="s">
        <v>456</v>
      </c>
      <c r="BA14" s="103" t="s">
        <v>514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364</v>
      </c>
      <c r="E15" s="38">
        <f>IF(LEFT(VLOOKUP($B15,'Indicator chart'!$D$1:$J$36,5,FALSE),1)=" "," ",VLOOKUP($B15,'Indicator chart'!$D$1:$J$36,5,FALSE))</f>
        <v>0.541667</v>
      </c>
      <c r="F15" s="38">
        <f>IF(LEFT(VLOOKUP($B15,'Indicator chart'!$D$1:$J$36,6,FALSE),1)=" "," ",VLOOKUP($B15,'Indicator chart'!$D$1:$J$36,6,FALSE))</f>
        <v>0.5038634745102947</v>
      </c>
      <c r="G15" s="38">
        <f>IF(LEFT(VLOOKUP($B15,'Indicator chart'!$D$1:$J$36,7,FALSE),1)=" "," ",VLOOKUP($B15,'Indicator chart'!$D$1:$J$36,7,FALSE))</f>
        <v>0.5789961778106042</v>
      </c>
      <c r="H15" s="50">
        <f t="shared" si="0"/>
        <v>2</v>
      </c>
      <c r="I15" s="38">
        <v>0.4594059884548187</v>
      </c>
      <c r="J15" s="38">
        <v>0.5261725187301636</v>
      </c>
      <c r="K15" s="38">
        <v>0.5665019750595093</v>
      </c>
      <c r="L15" s="38">
        <v>0.6000000238418579</v>
      </c>
      <c r="M15" s="38">
        <v>0.6668509840965271</v>
      </c>
      <c r="N15" s="80">
        <f>VLOOKUP('Hide - Control'!B$3,'All practice data'!A:CA,A15+29,FALSE)</f>
        <v>0.5751389854065323</v>
      </c>
      <c r="O15" s="80">
        <f>VLOOKUP('Hide - Control'!C$3,'All practice data'!A:CA,A15+29,FALSE)</f>
        <v>0.5147293797466616</v>
      </c>
      <c r="P15" s="38">
        <f>VLOOKUP('Hide - Control'!$B$4,'All practice data'!B:BC,A15+2,FALSE)</f>
        <v>33105</v>
      </c>
      <c r="Q15" s="38">
        <f>VLOOKUP('Hide - Control'!$B$4,'All practice data'!B:BJ,60,FALSE)</f>
        <v>57560</v>
      </c>
      <c r="R15" s="38">
        <f t="shared" si="17"/>
        <v>0.5710957379763497</v>
      </c>
      <c r="S15" s="38">
        <f t="shared" si="18"/>
        <v>0.5791722038352336</v>
      </c>
      <c r="T15" s="53">
        <f t="shared" si="16"/>
        <v>0.6668509840965271</v>
      </c>
      <c r="U15" s="51">
        <f t="shared" si="1"/>
        <v>0.4594059884548187</v>
      </c>
      <c r="V15" s="7"/>
      <c r="W15" s="27">
        <f t="shared" si="2"/>
        <v>0.4594059884548187</v>
      </c>
      <c r="X15" s="27">
        <f t="shared" si="3"/>
        <v>0.6735979616641998</v>
      </c>
      <c r="Y15" s="27">
        <f t="shared" si="4"/>
        <v>0.4594059884548187</v>
      </c>
      <c r="Z15" s="27">
        <f t="shared" si="5"/>
        <v>0.6735979616641998</v>
      </c>
      <c r="AA15" s="32">
        <f t="shared" si="6"/>
        <v>0</v>
      </c>
      <c r="AB15" s="33">
        <f t="shared" si="7"/>
        <v>0.31171350296156025</v>
      </c>
      <c r="AC15" s="33">
        <v>0.5</v>
      </c>
      <c r="AD15" s="33">
        <f t="shared" si="8"/>
        <v>0.656392642919457</v>
      </c>
      <c r="AE15" s="33">
        <f t="shared" si="9"/>
        <v>0.968500324888098</v>
      </c>
      <c r="AF15" s="33">
        <f t="shared" si="10"/>
        <v>-999</v>
      </c>
      <c r="AG15" s="33">
        <f t="shared" si="11"/>
        <v>0.38405272761910597</v>
      </c>
      <c r="AH15" s="33">
        <f t="shared" si="12"/>
        <v>-999</v>
      </c>
      <c r="AI15" s="34">
        <f t="shared" si="13"/>
        <v>0.2582888166297531</v>
      </c>
      <c r="AJ15" s="4">
        <v>11.310014695494289</v>
      </c>
      <c r="AK15" s="32">
        <f t="shared" si="14"/>
        <v>-999</v>
      </c>
      <c r="AL15" s="34">
        <f t="shared" si="15"/>
        <v>-999</v>
      </c>
      <c r="AY15" s="103" t="s">
        <v>229</v>
      </c>
      <c r="AZ15" s="103" t="s">
        <v>230</v>
      </c>
      <c r="BA15" s="103" t="s">
        <v>333</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219</v>
      </c>
      <c r="E16" s="38">
        <f>IF(LEFT(VLOOKUP($B16,'Indicator chart'!$D$1:$J$36,5,FALSE),1)=" "," ",VLOOKUP($B16,'Indicator chart'!$D$1:$J$36,5,FALSE))</f>
        <v>0.611732</v>
      </c>
      <c r="F16" s="38">
        <f>IF(LEFT(VLOOKUP($B16,'Indicator chart'!$D$1:$J$36,6,FALSE),1)=" "," ",VLOOKUP($B16,'Indicator chart'!$D$1:$J$36,6,FALSE))</f>
        <v>0.5603154681930748</v>
      </c>
      <c r="G16" s="38">
        <f>IF(LEFT(VLOOKUP($B16,'Indicator chart'!$D$1:$J$36,7,FALSE),1)=" "," ",VLOOKUP($B16,'Indicator chart'!$D$1:$J$36,7,FALSE))</f>
        <v>0.6607757496215713</v>
      </c>
      <c r="H16" s="50">
        <f t="shared" si="0"/>
        <v>2</v>
      </c>
      <c r="I16" s="38">
        <v>0.5037040114402771</v>
      </c>
      <c r="J16" s="38">
        <v>0.5549449920654297</v>
      </c>
      <c r="K16" s="38">
        <v>0.5836430191993713</v>
      </c>
      <c r="L16" s="38">
        <v>0.6254140138626099</v>
      </c>
      <c r="M16" s="38">
        <v>0.6941180229187012</v>
      </c>
      <c r="N16" s="80">
        <f>VLOOKUP('Hide - Control'!B$3,'All practice data'!A:CA,A16+29,FALSE)</f>
        <v>0.6003295003698473</v>
      </c>
      <c r="O16" s="80">
        <f>VLOOKUP('Hide - Control'!C$3,'All practice data'!A:CA,A16+29,FALSE)</f>
        <v>0.5752927626212945</v>
      </c>
      <c r="P16" s="38">
        <f>VLOOKUP('Hide - Control'!$B$4,'All practice data'!B:BC,A16+2,FALSE)</f>
        <v>17855</v>
      </c>
      <c r="Q16" s="38">
        <f>VLOOKUP('Hide - Control'!$B$4,'All practice data'!B:BJ,61,FALSE)</f>
        <v>29742</v>
      </c>
      <c r="R16" s="38">
        <f t="shared" si="17"/>
        <v>0.5947499431784997</v>
      </c>
      <c r="S16" s="38">
        <f t="shared" si="18"/>
        <v>0.6058831429601692</v>
      </c>
      <c r="T16" s="53">
        <f aca="true" t="shared" si="19" ref="T16:T31">IF($C16=1,M16,I16)</f>
        <v>0.6941180229187012</v>
      </c>
      <c r="U16" s="51">
        <f aca="true" t="shared" si="20" ref="U16:U31">IF($C16=1,I16,M16)</f>
        <v>0.5037040114402771</v>
      </c>
      <c r="V16" s="7"/>
      <c r="W16" s="27">
        <f t="shared" si="2"/>
        <v>0.4731680154800415</v>
      </c>
      <c r="X16" s="27">
        <f t="shared" si="3"/>
        <v>0.6941180229187012</v>
      </c>
      <c r="Y16" s="27">
        <f t="shared" si="4"/>
        <v>0.4731680154800415</v>
      </c>
      <c r="Z16" s="27">
        <f t="shared" si="5"/>
        <v>0.6941180229187012</v>
      </c>
      <c r="AA16" s="32">
        <f t="shared" si="6"/>
        <v>0.1382031904602358</v>
      </c>
      <c r="AB16" s="33">
        <f t="shared" si="7"/>
        <v>0.3701152922933989</v>
      </c>
      <c r="AC16" s="33">
        <v>0.5</v>
      </c>
      <c r="AD16" s="33">
        <f t="shared" si="8"/>
        <v>0.6890517911606544</v>
      </c>
      <c r="AE16" s="33">
        <f t="shared" si="9"/>
        <v>1</v>
      </c>
      <c r="AF16" s="33">
        <f t="shared" si="10"/>
        <v>-999</v>
      </c>
      <c r="AG16" s="33">
        <f t="shared" si="11"/>
        <v>0.6271282183976699</v>
      </c>
      <c r="AH16" s="33">
        <f t="shared" si="12"/>
        <v>-999</v>
      </c>
      <c r="AI16" s="34">
        <f t="shared" si="13"/>
        <v>0.46220748451255395</v>
      </c>
      <c r="AJ16" s="4">
        <v>12.386010120876215</v>
      </c>
      <c r="AK16" s="32">
        <f t="shared" si="14"/>
        <v>-999</v>
      </c>
      <c r="AL16" s="34">
        <f t="shared" si="15"/>
        <v>-999</v>
      </c>
      <c r="AY16" s="103" t="s">
        <v>332</v>
      </c>
      <c r="AZ16" s="103" t="s">
        <v>352</v>
      </c>
      <c r="BA16" s="103" t="s">
        <v>514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82</v>
      </c>
      <c r="E17" s="38">
        <f>IF(LEFT(VLOOKUP($B17,'Indicator chart'!$D$1:$J$36,5,FALSE),1)=" "," ",VLOOKUP($B17,'Indicator chart'!$D$1:$J$36,5,FALSE))</f>
        <v>1463.2405424696644</v>
      </c>
      <c r="F17" s="38">
        <f>IF(LEFT(VLOOKUP($B17,'Indicator chart'!$D$1:$J$36,6,FALSE),1)=" "," ",VLOOKUP($B17,'Indicator chart'!$D$1:$J$36,6,FALSE))</f>
        <v>1163.7157691976838</v>
      </c>
      <c r="G17" s="38">
        <f>IF(LEFT(VLOOKUP($B17,'Indicator chart'!$D$1:$J$36,7,FALSE),1)=" "," ",VLOOKUP($B17,'Indicator chart'!$D$1:$J$36,7,FALSE))</f>
        <v>1816.2957766575046</v>
      </c>
      <c r="H17" s="50">
        <f t="shared" si="0"/>
        <v>2</v>
      </c>
      <c r="I17" s="38">
        <v>426.5828552246094</v>
      </c>
      <c r="J17" s="38">
        <v>1153.223876953125</v>
      </c>
      <c r="K17" s="38">
        <v>1647.4344482421875</v>
      </c>
      <c r="L17" s="38">
        <v>1906.931884765625</v>
      </c>
      <c r="M17" s="38">
        <v>2962.01806640625</v>
      </c>
      <c r="N17" s="80">
        <f>VLOOKUP('Hide - Control'!B$3,'All practice data'!A:CA,A17+29,FALSE)</f>
        <v>1603.602332279232</v>
      </c>
      <c r="O17" s="80">
        <f>VLOOKUP('Hide - Control'!C$3,'All practice data'!A:CA,A17+29,FALSE)</f>
        <v>1812.1669120472948</v>
      </c>
      <c r="P17" s="38">
        <f>VLOOKUP('Hide - Control'!$B$4,'All practice data'!B:BC,A17+2,FALSE)</f>
        <v>7500</v>
      </c>
      <c r="Q17" s="38">
        <f>VLOOKUP('Hide - Control'!$B$4,'All practice data'!B:BC,3,FALSE)</f>
        <v>467697</v>
      </c>
      <c r="R17" s="38">
        <f>100000*(P17*(1-1/(9*P17)-1.96/(3*SQRT(P17)))^3)/Q17</f>
        <v>1567.5123030546827</v>
      </c>
      <c r="S17" s="38">
        <f>100000*((P17+1)*(1-1/(9*(P17+1))+1.96/(3*SQRT(P17+1)))^3)/Q17</f>
        <v>1640.31363718982</v>
      </c>
      <c r="T17" s="53">
        <f t="shared" si="19"/>
        <v>2962.01806640625</v>
      </c>
      <c r="U17" s="51">
        <f t="shared" si="20"/>
        <v>426.5828552246094</v>
      </c>
      <c r="V17" s="7"/>
      <c r="W17" s="27">
        <f t="shared" si="2"/>
        <v>332.850830078125</v>
      </c>
      <c r="X17" s="27">
        <f t="shared" si="3"/>
        <v>2962.01806640625</v>
      </c>
      <c r="Y17" s="27">
        <f t="shared" si="4"/>
        <v>332.850830078125</v>
      </c>
      <c r="Z17" s="27">
        <f t="shared" si="5"/>
        <v>2962.01806640625</v>
      </c>
      <c r="AA17" s="32">
        <f t="shared" si="6"/>
        <v>0.03565084177657326</v>
      </c>
      <c r="AB17" s="33">
        <f t="shared" si="7"/>
        <v>0.3120277156734719</v>
      </c>
      <c r="AC17" s="33">
        <v>0.5</v>
      </c>
      <c r="AD17" s="33">
        <f t="shared" si="8"/>
        <v>0.5986994790357458</v>
      </c>
      <c r="AE17" s="33">
        <f t="shared" si="9"/>
        <v>1</v>
      </c>
      <c r="AF17" s="33">
        <f t="shared" si="10"/>
        <v>-999</v>
      </c>
      <c r="AG17" s="33">
        <f t="shared" si="11"/>
        <v>0.4299421112406045</v>
      </c>
      <c r="AH17" s="33">
        <f t="shared" si="12"/>
        <v>-999</v>
      </c>
      <c r="AI17" s="34">
        <f t="shared" si="13"/>
        <v>0.562655757126797</v>
      </c>
      <c r="AJ17" s="4">
        <v>13.462005546258133</v>
      </c>
      <c r="AK17" s="32">
        <f t="shared" si="14"/>
        <v>-999</v>
      </c>
      <c r="AL17" s="34">
        <f t="shared" si="15"/>
        <v>-999</v>
      </c>
      <c r="AY17" s="103" t="s">
        <v>103</v>
      </c>
      <c r="AZ17" s="103" t="s">
        <v>104</v>
      </c>
      <c r="BA17" s="103" t="s">
        <v>333</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82</v>
      </c>
      <c r="E18" s="80">
        <f>IF(LEFT(VLOOKUP($B18,'Indicator chart'!$D$1:$J$36,5,FALSE),1)=" "," ",VLOOKUP($B18,'Indicator chart'!$D$1:$J$36,5,FALSE))</f>
        <v>0.6895890045</v>
      </c>
      <c r="F18" s="81">
        <f>IF(LEFT(VLOOKUP($B18,'Indicator chart'!$D$1:$J$36,6,FALSE),1)=" "," ",VLOOKUP($B18,'Indicator chart'!$D$1:$J$36,6,FALSE))</f>
        <v>0.5484505844</v>
      </c>
      <c r="G18" s="38">
        <f>IF(LEFT(VLOOKUP($B18,'Indicator chart'!$D$1:$J$36,7,FALSE),1)=" "," ",VLOOKUP($B18,'Indicator chart'!$D$1:$J$36,7,FALSE))</f>
        <v>0.8559617615</v>
      </c>
      <c r="H18" s="50">
        <f>IF(LEFT(F18,1)=" ",4,IF(AND(ABS(N18-E18)&gt;SQRT((E18-G18)^2+(N18-R18)^2),E18&lt;N18),1,IF(AND(ABS(N18-E18)&gt;SQRT((E18-F18)^2+(N18-S18)^2),E18&gt;N18),3,2)))</f>
        <v>1</v>
      </c>
      <c r="I18" s="38">
        <v>0.21989236772060394</v>
      </c>
      <c r="J18" s="38"/>
      <c r="K18" s="38">
        <v>1</v>
      </c>
      <c r="L18" s="38"/>
      <c r="M18" s="38">
        <v>1.3638571500778198</v>
      </c>
      <c r="N18" s="80">
        <v>1</v>
      </c>
      <c r="O18" s="80">
        <f>VLOOKUP('Hide - Control'!C$3,'All practice data'!A:CA,A18+29,FALSE)</f>
        <v>1</v>
      </c>
      <c r="P18" s="38">
        <f>VLOOKUP('Hide - Control'!$B$4,'All practice data'!B:BC,A18+2,FALSE)</f>
        <v>7500</v>
      </c>
      <c r="Q18" s="38">
        <f>VLOOKUP('Hide - Control'!$B$4,'All practice data'!B:BC,14,FALSE)</f>
        <v>7500</v>
      </c>
      <c r="R18" s="81">
        <v>1</v>
      </c>
      <c r="S18" s="38">
        <v>1</v>
      </c>
      <c r="T18" s="53">
        <f t="shared" si="19"/>
        <v>1.3638571500778198</v>
      </c>
      <c r="U18" s="51">
        <f t="shared" si="20"/>
        <v>0.21989236772060394</v>
      </c>
      <c r="V18" s="7"/>
      <c r="W18" s="27">
        <f>IF((K18-I18)&gt;(M18-K18),I18,(K18-(M18-K18)))</f>
        <v>0.21989236772060394</v>
      </c>
      <c r="X18" s="27">
        <f t="shared" si="3"/>
        <v>1.780107632279396</v>
      </c>
      <c r="Y18" s="27">
        <f t="shared" si="4"/>
        <v>0.21989236772060394</v>
      </c>
      <c r="Z18" s="27">
        <f t="shared" si="5"/>
        <v>1.780107632279396</v>
      </c>
      <c r="AA18" s="32" t="s">
        <v>333</v>
      </c>
      <c r="AB18" s="33" t="s">
        <v>333</v>
      </c>
      <c r="AC18" s="33">
        <v>0.5</v>
      </c>
      <c r="AD18" s="33" t="s">
        <v>333</v>
      </c>
      <c r="AE18" s="33" t="s">
        <v>333</v>
      </c>
      <c r="AF18" s="33">
        <f t="shared" si="10"/>
        <v>-999</v>
      </c>
      <c r="AG18" s="33">
        <f t="shared" si="11"/>
        <v>-999</v>
      </c>
      <c r="AH18" s="33">
        <f t="shared" si="12"/>
        <v>0.3010460463045271</v>
      </c>
      <c r="AI18" s="34">
        <v>0.5</v>
      </c>
      <c r="AJ18" s="4">
        <v>14.538000971640056</v>
      </c>
      <c r="AK18" s="32">
        <f t="shared" si="14"/>
        <v>0.3010460463045271</v>
      </c>
      <c r="AL18" s="34">
        <f t="shared" si="15"/>
        <v>-999</v>
      </c>
      <c r="AY18" s="103" t="s">
        <v>105</v>
      </c>
      <c r="AZ18" s="103" t="s">
        <v>106</v>
      </c>
      <c r="BA18" s="103" t="s">
        <v>333</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8</v>
      </c>
      <c r="E19" s="38">
        <f>IF(LEFT(VLOOKUP($B19,'Indicator chart'!$D$1:$J$36,5,FALSE),1)=" "," ",VLOOKUP($B19,'Indicator chart'!$D$1:$J$36,5,FALSE))</f>
        <v>0.0975609756097561</v>
      </c>
      <c r="F19" s="38">
        <f>IF(LEFT(VLOOKUP($B19,'Indicator chart'!$D$1:$J$36,6,FALSE),1)=" "," ",VLOOKUP($B19,'Indicator chart'!$D$1:$J$36,6,FALSE))</f>
        <v>0.05026808709378499</v>
      </c>
      <c r="G19" s="38">
        <f>IF(LEFT(VLOOKUP($B19,'Indicator chart'!$D$1:$J$36,7,FALSE),1)=" "," ",VLOOKUP($B19,'Indicator chart'!$D$1:$J$36,7,FALSE))</f>
        <v>0.18087392330676672</v>
      </c>
      <c r="H19" s="50">
        <f t="shared" si="0"/>
        <v>2</v>
      </c>
      <c r="I19" s="38">
        <v>0.02070442959666252</v>
      </c>
      <c r="J19" s="38">
        <v>0.09940119832754135</v>
      </c>
      <c r="K19" s="38">
        <v>0.12376237660646439</v>
      </c>
      <c r="L19" s="38">
        <v>0.1464601308107376</v>
      </c>
      <c r="M19" s="38">
        <v>0.3478260934352875</v>
      </c>
      <c r="N19" s="80">
        <f>VLOOKUP('Hide - Control'!B$3,'All practice data'!A:CA,A19+29,FALSE)</f>
        <v>0.1204</v>
      </c>
      <c r="O19" s="80">
        <f>VLOOKUP('Hide - Control'!C$3,'All practice data'!A:CA,A19+29,FALSE)</f>
        <v>0.10919341638628717</v>
      </c>
      <c r="P19" s="38">
        <f>VLOOKUP('Hide - Control'!$B$4,'All practice data'!B:BC,A19+2,FALSE)</f>
        <v>903</v>
      </c>
      <c r="Q19" s="38">
        <f>VLOOKUP('Hide - Control'!$B$4,'All practice data'!B:BC,15,FALSE)</f>
        <v>7500</v>
      </c>
      <c r="R19" s="38">
        <f>+((2*P19+1.96^2-1.96*SQRT(1.96^2+4*P19*(1-P19/Q19)))/(2*(Q19+1.96^2)))</f>
        <v>0.11322851321933894</v>
      </c>
      <c r="S19" s="38">
        <f>+((2*P19+1.96^2+1.96*SQRT(1.96^2+4*P19*(1-P19/Q19)))/(2*(Q19+1.96^2)))</f>
        <v>0.1279601600596919</v>
      </c>
      <c r="T19" s="53">
        <f t="shared" si="19"/>
        <v>0.3478260934352875</v>
      </c>
      <c r="U19" s="51">
        <f t="shared" si="20"/>
        <v>0.02070442959666252</v>
      </c>
      <c r="V19" s="7"/>
      <c r="W19" s="27">
        <f t="shared" si="2"/>
        <v>-0.1003013402223587</v>
      </c>
      <c r="X19" s="27">
        <f t="shared" si="3"/>
        <v>0.3478260934352875</v>
      </c>
      <c r="Y19" s="27">
        <f t="shared" si="4"/>
        <v>-0.1003013402223587</v>
      </c>
      <c r="Z19" s="27">
        <f t="shared" si="5"/>
        <v>0.3478260934352875</v>
      </c>
      <c r="AA19" s="32">
        <f t="shared" si="6"/>
        <v>0.2700253560273336</v>
      </c>
      <c r="AB19" s="33">
        <f t="shared" si="7"/>
        <v>0.4456378332384486</v>
      </c>
      <c r="AC19" s="33">
        <v>0.5</v>
      </c>
      <c r="AD19" s="33">
        <f t="shared" si="8"/>
        <v>0.5506502224579571</v>
      </c>
      <c r="AE19" s="33">
        <f t="shared" si="9"/>
        <v>1</v>
      </c>
      <c r="AF19" s="33">
        <f t="shared" si="10"/>
        <v>-999</v>
      </c>
      <c r="AG19" s="33">
        <f t="shared" si="11"/>
        <v>0.441531361329855</v>
      </c>
      <c r="AH19" s="33">
        <f t="shared" si="12"/>
        <v>-999</v>
      </c>
      <c r="AI19" s="34">
        <f t="shared" si="13"/>
        <v>0.46748924719635127</v>
      </c>
      <c r="AJ19" s="4">
        <v>15.61399639702198</v>
      </c>
      <c r="AK19" s="32">
        <f t="shared" si="14"/>
        <v>-999</v>
      </c>
      <c r="AL19" s="34">
        <f t="shared" si="15"/>
        <v>-999</v>
      </c>
      <c r="AY19" s="103" t="s">
        <v>270</v>
      </c>
      <c r="AZ19" s="103" t="s">
        <v>452</v>
      </c>
      <c r="BA19" s="103" t="s">
        <v>333</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17</v>
      </c>
      <c r="E20" s="38">
        <f>IF(LEFT(VLOOKUP($B20,'Indicator chart'!$D$1:$J$36,5,FALSE),1)=" "," ",VLOOKUP($B20,'Indicator chart'!$D$1:$J$36,5,FALSE))</f>
        <v>0.47058823529411764</v>
      </c>
      <c r="F20" s="38">
        <f>IF(LEFT(VLOOKUP($B20,'Indicator chart'!$D$1:$J$36,6,FALSE),1)=" "," ",VLOOKUP($B20,'Indicator chart'!$D$1:$J$36,6,FALSE))</f>
        <v>0.26164801196088106</v>
      </c>
      <c r="G20" s="38">
        <f>IF(LEFT(VLOOKUP($B20,'Indicator chart'!$D$1:$J$36,7,FALSE),1)=" "," ",VLOOKUP($B20,'Indicator chart'!$D$1:$J$36,7,FALSE))</f>
        <v>0.6903710268845051</v>
      </c>
      <c r="H20" s="50">
        <f t="shared" si="0"/>
        <v>2</v>
      </c>
      <c r="I20" s="38">
        <v>0.09238772839307785</v>
      </c>
      <c r="J20" s="38">
        <v>0.33771929144859314</v>
      </c>
      <c r="K20" s="38">
        <v>0.40425533056259155</v>
      </c>
      <c r="L20" s="38">
        <v>0.4733893573284149</v>
      </c>
      <c r="M20" s="38">
        <v>0.5714285969734192</v>
      </c>
      <c r="N20" s="80">
        <f>VLOOKUP('Hide - Control'!B$3,'All practice data'!A:CA,A20+29,FALSE)</f>
        <v>0.4161290322580645</v>
      </c>
      <c r="O20" s="80">
        <f>VLOOKUP('Hide - Control'!C$3,'All practice data'!A:CA,A20+29,FALSE)</f>
        <v>0.4534552930810221</v>
      </c>
      <c r="P20" s="38">
        <f>VLOOKUP('Hide - Control'!$B$4,'All practice data'!B:BC,A20+1,FALSE)</f>
        <v>903</v>
      </c>
      <c r="Q20" s="38">
        <f>VLOOKUP('Hide - Control'!$B$4,'All practice data'!B:BC,A20+2,FALSE)</f>
        <v>2170</v>
      </c>
      <c r="R20" s="38">
        <f>+((2*P20+1.96^2-1.96*SQRT(1.96^2+4*P20*(1-P20/Q20)))/(2*(Q20+1.96^2)))</f>
        <v>0.3955555342070876</v>
      </c>
      <c r="S20" s="38">
        <f>+((2*P20+1.96^2+1.96*SQRT(1.96^2+4*P20*(1-P20/Q20)))/(2*(Q20+1.96^2)))</f>
        <v>0.43699896286390405</v>
      </c>
      <c r="T20" s="53">
        <f t="shared" si="19"/>
        <v>0.5714285969734192</v>
      </c>
      <c r="U20" s="51">
        <f t="shared" si="20"/>
        <v>0.09238772839307785</v>
      </c>
      <c r="V20" s="7"/>
      <c r="W20" s="27">
        <f t="shared" si="2"/>
        <v>0.09238772839307785</v>
      </c>
      <c r="X20" s="27">
        <f t="shared" si="3"/>
        <v>0.7161229327321053</v>
      </c>
      <c r="Y20" s="27">
        <f t="shared" si="4"/>
        <v>0.09238772839307785</v>
      </c>
      <c r="Z20" s="27">
        <f t="shared" si="5"/>
        <v>0.7161229327321053</v>
      </c>
      <c r="AA20" s="32">
        <f t="shared" si="6"/>
        <v>0</v>
      </c>
      <c r="AB20" s="33">
        <f t="shared" si="7"/>
        <v>0.39332646505898816</v>
      </c>
      <c r="AC20" s="33">
        <v>0.5</v>
      </c>
      <c r="AD20" s="33">
        <f t="shared" si="8"/>
        <v>0.6108387442056998</v>
      </c>
      <c r="AE20" s="33">
        <f t="shared" si="9"/>
        <v>0.7680196103216288</v>
      </c>
      <c r="AF20" s="33">
        <f t="shared" si="10"/>
        <v>-999</v>
      </c>
      <c r="AG20" s="33">
        <f t="shared" si="11"/>
        <v>0.6063478608712155</v>
      </c>
      <c r="AH20" s="33">
        <f t="shared" si="12"/>
        <v>-999</v>
      </c>
      <c r="AI20" s="34">
        <f t="shared" si="13"/>
        <v>0.5788795664829722</v>
      </c>
      <c r="AJ20" s="4">
        <v>16.689991822403904</v>
      </c>
      <c r="AK20" s="32">
        <f t="shared" si="14"/>
        <v>-999</v>
      </c>
      <c r="AL20" s="34">
        <f t="shared" si="15"/>
        <v>-999</v>
      </c>
      <c r="AY20" s="103" t="s">
        <v>211</v>
      </c>
      <c r="AZ20" s="103" t="s">
        <v>433</v>
      </c>
      <c r="BA20" s="103" t="s">
        <v>333</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23</v>
      </c>
      <c r="E21" s="38">
        <f>IF(LEFT(VLOOKUP($B21,'Indicator chart'!$D$1:$J$36,5,FALSE),1)=" "," ",VLOOKUP($B21,'Indicator chart'!$D$1:$J$36,5,FALSE))</f>
        <v>410.4211277658815</v>
      </c>
      <c r="F21" s="38">
        <f>IF(LEFT(VLOOKUP($B21,'Indicator chart'!$D$1:$J$36,6,FALSE),1)=" "," ",VLOOKUP($B21,'Indicator chart'!$D$1:$J$36,6,FALSE))</f>
        <v>260.08642480960197</v>
      </c>
      <c r="G21" s="38">
        <f>IF(LEFT(VLOOKUP($B21,'Indicator chart'!$D$1:$J$36,7,FALSE),1)=" "," ",VLOOKUP($B21,'Indicator chart'!$D$1:$J$36,7,FALSE))</f>
        <v>615.8642946444788</v>
      </c>
      <c r="H21" s="50">
        <f t="shared" si="0"/>
        <v>2</v>
      </c>
      <c r="I21" s="38">
        <v>61.46357345581055</v>
      </c>
      <c r="J21" s="38">
        <v>255.99276733398438</v>
      </c>
      <c r="K21" s="38">
        <v>365.7049865722656</v>
      </c>
      <c r="L21" s="38">
        <v>452.7613830566406</v>
      </c>
      <c r="M21" s="38">
        <v>1017.92431640625</v>
      </c>
      <c r="N21" s="80">
        <f>VLOOKUP('Hide - Control'!B$3,'All practice data'!A:CA,A21+29,FALSE)</f>
        <v>386.361255257143</v>
      </c>
      <c r="O21" s="80">
        <f>VLOOKUP('Hide - Control'!C$3,'All practice data'!A:CA,A21+29,FALSE)</f>
        <v>377.7293140102421</v>
      </c>
      <c r="P21" s="38">
        <f>VLOOKUP('Hide - Control'!$B$4,'All practice data'!B:BC,A21+2,FALSE)</f>
        <v>1807</v>
      </c>
      <c r="Q21" s="38">
        <f>VLOOKUP('Hide - Control'!$B$4,'All practice data'!B:BC,3,FALSE)</f>
        <v>467697</v>
      </c>
      <c r="R21" s="38">
        <f aca="true" t="shared" si="21" ref="R21:R27">100000*(P21*(1-1/(9*P21)-1.96/(3*SQRT(P21)))^3)/Q21</f>
        <v>368.750181214087</v>
      </c>
      <c r="S21" s="38">
        <f aca="true" t="shared" si="22" ref="S21:S27">100000*((P21+1)*(1-1/(9*(P21+1))+1.96/(3*SQRT(P21+1)))^3)/Q21</f>
        <v>404.5960954168024</v>
      </c>
      <c r="T21" s="53">
        <f t="shared" si="19"/>
        <v>1017.92431640625</v>
      </c>
      <c r="U21" s="51">
        <f t="shared" si="20"/>
        <v>61.46357345581055</v>
      </c>
      <c r="V21" s="7"/>
      <c r="W21" s="27">
        <f t="shared" si="2"/>
        <v>-286.51434326171875</v>
      </c>
      <c r="X21" s="27">
        <f t="shared" si="3"/>
        <v>1017.92431640625</v>
      </c>
      <c r="Y21" s="27">
        <f t="shared" si="4"/>
        <v>-286.51434326171875</v>
      </c>
      <c r="Z21" s="27">
        <f t="shared" si="5"/>
        <v>1017.92431640625</v>
      </c>
      <c r="AA21" s="32">
        <f t="shared" si="6"/>
        <v>0.2667644922499487</v>
      </c>
      <c r="AB21" s="33">
        <f t="shared" si="7"/>
        <v>0.4158931557071397</v>
      </c>
      <c r="AC21" s="33">
        <v>0.5</v>
      </c>
      <c r="AD21" s="33">
        <f t="shared" si="8"/>
        <v>0.5667385896907826</v>
      </c>
      <c r="AE21" s="33">
        <f t="shared" si="9"/>
        <v>1</v>
      </c>
      <c r="AF21" s="33">
        <f t="shared" si="10"/>
        <v>-999</v>
      </c>
      <c r="AG21" s="33">
        <f t="shared" si="11"/>
        <v>0.5342799876883424</v>
      </c>
      <c r="AH21" s="33">
        <f t="shared" si="12"/>
        <v>-999</v>
      </c>
      <c r="AI21" s="34">
        <f t="shared" si="13"/>
        <v>0.5092180091021199</v>
      </c>
      <c r="AJ21" s="4">
        <v>17.765987247785823</v>
      </c>
      <c r="AK21" s="32">
        <f t="shared" si="14"/>
        <v>-999</v>
      </c>
      <c r="AL21" s="34">
        <f t="shared" si="15"/>
        <v>-999</v>
      </c>
      <c r="AY21" s="103" t="s">
        <v>123</v>
      </c>
      <c r="AZ21" s="103" t="s">
        <v>407</v>
      </c>
      <c r="BA21" s="103" t="s">
        <v>333</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9</v>
      </c>
      <c r="E22" s="38">
        <f>IF(LEFT(VLOOKUP($B22,'Indicator chart'!$D$1:$J$36,5,FALSE),1)=" "," ",VLOOKUP($B22,'Indicator chart'!$D$1:$J$36,5,FALSE))</f>
        <v>160.59957173447538</v>
      </c>
      <c r="F22" s="38">
        <f>IF(LEFT(VLOOKUP($B22,'Indicator chart'!$D$1:$J$36,6,FALSE),1)=" "," ",VLOOKUP($B22,'Indicator chart'!$D$1:$J$36,6,FALSE))</f>
        <v>73.28374346042396</v>
      </c>
      <c r="G22" s="38">
        <f>IF(LEFT(VLOOKUP($B22,'Indicator chart'!$D$1:$J$36,7,FALSE),1)=" "," ",VLOOKUP($B22,'Indicator chart'!$D$1:$J$36,7,FALSE))</f>
        <v>304.88835583039366</v>
      </c>
      <c r="H22" s="50">
        <f t="shared" si="0"/>
        <v>2</v>
      </c>
      <c r="I22" s="38">
        <v>18.07059669494629</v>
      </c>
      <c r="J22" s="38">
        <v>160.04794311523438</v>
      </c>
      <c r="K22" s="38">
        <v>243.74830627441406</v>
      </c>
      <c r="L22" s="38">
        <v>330.4094543457031</v>
      </c>
      <c r="M22" s="38">
        <v>551.9779052734375</v>
      </c>
      <c r="N22" s="80">
        <f>VLOOKUP('Hide - Control'!B$3,'All practice data'!A:CA,A22+29,FALSE)</f>
        <v>267.4808690241759</v>
      </c>
      <c r="O22" s="80">
        <f>VLOOKUP('Hide - Control'!C$3,'All practice data'!A:CA,A22+29,FALSE)</f>
        <v>282.45290788403287</v>
      </c>
      <c r="P22" s="38">
        <f>VLOOKUP('Hide - Control'!$B$4,'All practice data'!B:BC,A22+2,FALSE)</f>
        <v>1251</v>
      </c>
      <c r="Q22" s="38">
        <f>VLOOKUP('Hide - Control'!$B$4,'All practice data'!B:BC,3,FALSE)</f>
        <v>467697</v>
      </c>
      <c r="R22" s="38">
        <f t="shared" si="21"/>
        <v>252.86186732870834</v>
      </c>
      <c r="S22" s="38">
        <f t="shared" si="22"/>
        <v>282.7246204075715</v>
      </c>
      <c r="T22" s="53">
        <f t="shared" si="19"/>
        <v>551.9779052734375</v>
      </c>
      <c r="U22" s="51">
        <f t="shared" si="20"/>
        <v>18.07059669494629</v>
      </c>
      <c r="V22" s="7"/>
      <c r="W22" s="27">
        <f t="shared" si="2"/>
        <v>-64.48129272460938</v>
      </c>
      <c r="X22" s="27">
        <f t="shared" si="3"/>
        <v>551.9779052734375</v>
      </c>
      <c r="Y22" s="27">
        <f t="shared" si="4"/>
        <v>-64.48129272460938</v>
      </c>
      <c r="Z22" s="27">
        <f t="shared" si="5"/>
        <v>551.9779052734375</v>
      </c>
      <c r="AA22" s="32">
        <f t="shared" si="6"/>
        <v>0.13391298189343784</v>
      </c>
      <c r="AB22" s="33">
        <f t="shared" si="7"/>
        <v>0.3642240014732575</v>
      </c>
      <c r="AC22" s="33">
        <v>0.5</v>
      </c>
      <c r="AD22" s="33">
        <f t="shared" si="8"/>
        <v>0.6405788872203082</v>
      </c>
      <c r="AE22" s="33">
        <f t="shared" si="9"/>
        <v>1</v>
      </c>
      <c r="AF22" s="33">
        <f t="shared" si="10"/>
        <v>-999</v>
      </c>
      <c r="AG22" s="33">
        <f t="shared" si="11"/>
        <v>0.3651188354233914</v>
      </c>
      <c r="AH22" s="33">
        <f t="shared" si="12"/>
        <v>-999</v>
      </c>
      <c r="AI22" s="34">
        <f t="shared" si="13"/>
        <v>0.5627853420555847</v>
      </c>
      <c r="AJ22" s="4">
        <v>18.841982673167745</v>
      </c>
      <c r="AK22" s="32">
        <f t="shared" si="14"/>
        <v>-999</v>
      </c>
      <c r="AL22" s="34">
        <f t="shared" si="15"/>
        <v>-999</v>
      </c>
      <c r="AY22" s="103" t="s">
        <v>149</v>
      </c>
      <c r="AZ22" s="103" t="s">
        <v>417</v>
      </c>
      <c r="BA22" s="103" t="s">
        <v>333</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7</v>
      </c>
      <c r="E23" s="38">
        <f>IF(LEFT(VLOOKUP($B23,'Indicator chart'!$D$1:$J$36,5,FALSE),1)=" "," ",VLOOKUP($B23,'Indicator chart'!$D$1:$J$36,5,FALSE))</f>
        <v>124.91077801570307</v>
      </c>
      <c r="F23" s="38">
        <f>IF(LEFT(VLOOKUP($B23,'Indicator chart'!$D$1:$J$36,6,FALSE),1)=" "," ",VLOOKUP($B23,'Indicator chart'!$D$1:$J$36,6,FALSE))</f>
        <v>50.04245004601032</v>
      </c>
      <c r="G23" s="38">
        <f>IF(LEFT(VLOOKUP($B23,'Indicator chart'!$D$1:$J$36,7,FALSE),1)=" "," ",VLOOKUP($B23,'Indicator chart'!$D$1:$J$36,7,FALSE))</f>
        <v>257.3771138167052</v>
      </c>
      <c r="H23" s="50">
        <f t="shared" si="0"/>
        <v>2</v>
      </c>
      <c r="I23" s="38">
        <v>3.248678207397461</v>
      </c>
      <c r="J23" s="38">
        <v>31.727319717407227</v>
      </c>
      <c r="K23" s="38">
        <v>55.48619842529297</v>
      </c>
      <c r="L23" s="38">
        <v>85.52605438232422</v>
      </c>
      <c r="M23" s="38">
        <v>149.0868377685547</v>
      </c>
      <c r="N23" s="80">
        <f>VLOOKUP('Hide - Control'!B$3,'All practice data'!A:CA,A23+29,FALSE)</f>
        <v>63.0750250696498</v>
      </c>
      <c r="O23" s="80">
        <f>VLOOKUP('Hide - Control'!C$3,'All practice data'!A:CA,A23+29,FALSE)</f>
        <v>70.46674929228394</v>
      </c>
      <c r="P23" s="38">
        <f>VLOOKUP('Hide - Control'!$B$4,'All practice data'!B:BC,A23+2,FALSE)</f>
        <v>295</v>
      </c>
      <c r="Q23" s="38">
        <f>VLOOKUP('Hide - Control'!$B$4,'All practice data'!B:BC,3,FALSE)</f>
        <v>467697</v>
      </c>
      <c r="R23" s="38">
        <f t="shared" si="21"/>
        <v>56.0815774788167</v>
      </c>
      <c r="S23" s="38">
        <f t="shared" si="22"/>
        <v>70.69937527143043</v>
      </c>
      <c r="T23" s="53">
        <f t="shared" si="19"/>
        <v>149.0868377685547</v>
      </c>
      <c r="U23" s="51">
        <f t="shared" si="20"/>
        <v>3.248678207397461</v>
      </c>
      <c r="V23" s="7"/>
      <c r="W23" s="27">
        <f t="shared" si="2"/>
        <v>-38.11444091796875</v>
      </c>
      <c r="X23" s="27">
        <f t="shared" si="3"/>
        <v>149.0868377685547</v>
      </c>
      <c r="Y23" s="27">
        <f t="shared" si="4"/>
        <v>-38.11444091796875</v>
      </c>
      <c r="Z23" s="27">
        <f t="shared" si="5"/>
        <v>149.0868377685547</v>
      </c>
      <c r="AA23" s="32">
        <f t="shared" si="6"/>
        <v>0.22095532367933515</v>
      </c>
      <c r="AB23" s="33">
        <f t="shared" si="7"/>
        <v>0.37308377979794144</v>
      </c>
      <c r="AC23" s="33">
        <v>0.5</v>
      </c>
      <c r="AD23" s="33">
        <f t="shared" si="8"/>
        <v>0.6604682199170994</v>
      </c>
      <c r="AE23" s="33">
        <f t="shared" si="9"/>
        <v>1</v>
      </c>
      <c r="AF23" s="33">
        <f t="shared" si="10"/>
        <v>-999</v>
      </c>
      <c r="AG23" s="33">
        <f t="shared" si="11"/>
        <v>0.8708552637969131</v>
      </c>
      <c r="AH23" s="33">
        <f t="shared" si="12"/>
        <v>-999</v>
      </c>
      <c r="AI23" s="34">
        <f t="shared" si="13"/>
        <v>0.5800237635773661</v>
      </c>
      <c r="AJ23" s="4">
        <v>19.917978098549675</v>
      </c>
      <c r="AK23" s="32">
        <f t="shared" si="14"/>
        <v>-999</v>
      </c>
      <c r="AL23" s="34">
        <f t="shared" si="15"/>
        <v>-999</v>
      </c>
      <c r="AY23" s="103" t="s">
        <v>264</v>
      </c>
      <c r="AZ23" s="103" t="s">
        <v>265</v>
      </c>
      <c r="BA23" s="103" t="s">
        <v>333</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160.045166015625</v>
      </c>
      <c r="K24" s="38">
        <v>222.6758270263672</v>
      </c>
      <c r="L24" s="38">
        <v>335.2024841308594</v>
      </c>
      <c r="M24" s="38">
        <v>949.5465087890625</v>
      </c>
      <c r="N24" s="80">
        <f>VLOOKUP('Hide - Control'!B$3,'All practice data'!A:CA,A24+29,FALSE)</f>
        <v>259.1421368963239</v>
      </c>
      <c r="O24" s="80">
        <f>VLOOKUP('Hide - Control'!C$3,'All practice data'!A:CA,A24+29,FALSE)</f>
        <v>323.23046266988894</v>
      </c>
      <c r="P24" s="38">
        <f>VLOOKUP('Hide - Control'!$B$4,'All practice data'!B:BC,A24+2,FALSE)</f>
        <v>1212</v>
      </c>
      <c r="Q24" s="38">
        <f>VLOOKUP('Hide - Control'!$B$4,'All practice data'!B:BC,3,FALSE)</f>
        <v>467697</v>
      </c>
      <c r="R24" s="38">
        <f t="shared" si="21"/>
        <v>244.75602453918097</v>
      </c>
      <c r="S24" s="38">
        <f t="shared" si="22"/>
        <v>274.1530923066132</v>
      </c>
      <c r="T24" s="53">
        <f t="shared" si="19"/>
        <v>949.5465087890625</v>
      </c>
      <c r="U24" s="51">
        <f t="shared" si="20"/>
        <v>27.3076171875</v>
      </c>
      <c r="V24" s="7"/>
      <c r="W24" s="27">
        <f t="shared" si="2"/>
        <v>-504.1948547363281</v>
      </c>
      <c r="X24" s="27">
        <f t="shared" si="3"/>
        <v>949.5465087890625</v>
      </c>
      <c r="Y24" s="27">
        <f t="shared" si="4"/>
        <v>-504.1948547363281</v>
      </c>
      <c r="Z24" s="27">
        <f t="shared" si="5"/>
        <v>949.5465087890625</v>
      </c>
      <c r="AA24" s="32">
        <f t="shared" si="6"/>
        <v>0.36561006328863743</v>
      </c>
      <c r="AB24" s="33">
        <f t="shared" si="7"/>
        <v>0.4569176040648249</v>
      </c>
      <c r="AC24" s="33">
        <v>0.5</v>
      </c>
      <c r="AD24" s="33">
        <f t="shared" si="8"/>
        <v>0.5774048671433616</v>
      </c>
      <c r="AE24" s="33">
        <f t="shared" si="9"/>
        <v>1</v>
      </c>
      <c r="AF24" s="33">
        <f t="shared" si="10"/>
        <v>-999</v>
      </c>
      <c r="AG24" s="33">
        <f t="shared" si="11"/>
        <v>-999</v>
      </c>
      <c r="AH24" s="33">
        <f t="shared" si="12"/>
        <v>-999</v>
      </c>
      <c r="AI24" s="34">
        <f t="shared" si="13"/>
        <v>0.5691695498019483</v>
      </c>
      <c r="AJ24" s="4">
        <v>20.99397352393159</v>
      </c>
      <c r="AK24" s="32">
        <f t="shared" si="14"/>
        <v>-999</v>
      </c>
      <c r="AL24" s="34">
        <f t="shared" si="15"/>
        <v>-999</v>
      </c>
      <c r="AY24" s="103" t="s">
        <v>65</v>
      </c>
      <c r="AZ24" s="103" t="s">
        <v>66</v>
      </c>
      <c r="BA24" s="103" t="s">
        <v>514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30</v>
      </c>
      <c r="E25" s="38">
        <f>IF(LEFT(VLOOKUP($B25,'Indicator chart'!$D$1:$J$36,5,FALSE),1)=" "," ",VLOOKUP($B25,'Indicator chart'!$D$1:$J$36,5,FALSE))</f>
        <v>535.3319057815846</v>
      </c>
      <c r="F25" s="38">
        <f>IF(LEFT(VLOOKUP($B25,'Indicator chart'!$D$1:$J$36,6,FALSE),1)=" "," ",VLOOKUP($B25,'Indicator chart'!$D$1:$J$36,6,FALSE))</f>
        <v>361.1132649142545</v>
      </c>
      <c r="G25" s="38">
        <f>IF(LEFT(VLOOKUP($B25,'Indicator chart'!$D$1:$J$36,7,FALSE),1)=" "," ",VLOOKUP($B25,'Indicator chart'!$D$1:$J$36,7,FALSE))</f>
        <v>764.2509044401634</v>
      </c>
      <c r="H25" s="50">
        <f t="shared" si="0"/>
        <v>2</v>
      </c>
      <c r="I25" s="38">
        <v>232.12628173828125</v>
      </c>
      <c r="J25" s="38">
        <v>379.5066833496094</v>
      </c>
      <c r="K25" s="38">
        <v>437.1022644042969</v>
      </c>
      <c r="L25" s="38">
        <v>540.9918212890625</v>
      </c>
      <c r="M25" s="38">
        <v>718.1719360351562</v>
      </c>
      <c r="N25" s="80">
        <f>VLOOKUP('Hide - Control'!B$3,'All practice data'!A:CA,A25+29,FALSE)</f>
        <v>456.0645033002136</v>
      </c>
      <c r="O25" s="80">
        <f>VLOOKUP('Hide - Control'!C$3,'All practice data'!A:CA,A25+29,FALSE)</f>
        <v>562.6134400960308</v>
      </c>
      <c r="P25" s="38">
        <f>VLOOKUP('Hide - Control'!$B$4,'All practice data'!B:BC,A25+2,FALSE)</f>
        <v>2133</v>
      </c>
      <c r="Q25" s="38">
        <f>VLOOKUP('Hide - Control'!$B$4,'All practice data'!B:BC,3,FALSE)</f>
        <v>467697</v>
      </c>
      <c r="R25" s="38">
        <f t="shared" si="21"/>
        <v>436.9130213773312</v>
      </c>
      <c r="S25" s="38">
        <f t="shared" si="22"/>
        <v>475.8393629503449</v>
      </c>
      <c r="T25" s="53">
        <f t="shared" si="19"/>
        <v>718.1719360351562</v>
      </c>
      <c r="U25" s="51">
        <f t="shared" si="20"/>
        <v>232.12628173828125</v>
      </c>
      <c r="V25" s="7"/>
      <c r="W25" s="27">
        <f t="shared" si="2"/>
        <v>156.0325927734375</v>
      </c>
      <c r="X25" s="27">
        <f t="shared" si="3"/>
        <v>718.1719360351562</v>
      </c>
      <c r="Y25" s="27">
        <f t="shared" si="4"/>
        <v>156.0325927734375</v>
      </c>
      <c r="Z25" s="27">
        <f t="shared" si="5"/>
        <v>718.1719360351562</v>
      </c>
      <c r="AA25" s="32">
        <f t="shared" si="6"/>
        <v>0.13536446056830492</v>
      </c>
      <c r="AB25" s="33">
        <f t="shared" si="7"/>
        <v>0.3975421632641849</v>
      </c>
      <c r="AC25" s="33">
        <v>0.5</v>
      </c>
      <c r="AD25" s="33">
        <f t="shared" si="8"/>
        <v>0.6848110404120872</v>
      </c>
      <c r="AE25" s="33">
        <f t="shared" si="9"/>
        <v>1</v>
      </c>
      <c r="AF25" s="33">
        <f t="shared" si="10"/>
        <v>-999</v>
      </c>
      <c r="AG25" s="33">
        <f t="shared" si="11"/>
        <v>0.6747425127857567</v>
      </c>
      <c r="AH25" s="33">
        <f t="shared" si="12"/>
        <v>-999</v>
      </c>
      <c r="AI25" s="34">
        <f t="shared" si="13"/>
        <v>0.7232741351343183</v>
      </c>
      <c r="AJ25" s="4">
        <v>22.06996894931352</v>
      </c>
      <c r="AK25" s="32">
        <f t="shared" si="14"/>
        <v>-999</v>
      </c>
      <c r="AL25" s="34">
        <f t="shared" si="15"/>
        <v>-999</v>
      </c>
      <c r="AY25" s="103" t="s">
        <v>257</v>
      </c>
      <c r="AZ25" s="103" t="s">
        <v>258</v>
      </c>
      <c r="BA25" s="103" t="s">
        <v>514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46</v>
      </c>
      <c r="E26" s="38">
        <f>IF(LEFT(VLOOKUP($B26,'Indicator chart'!$D$1:$J$36,5,FALSE),1)=" "," ",VLOOKUP($B26,'Indicator chart'!$D$1:$J$36,5,FALSE))</f>
        <v>820.842255531763</v>
      </c>
      <c r="F26" s="38">
        <f>IF(LEFT(VLOOKUP($B26,'Indicator chart'!$D$1:$J$36,6,FALSE),1)=" "," ",VLOOKUP($B26,'Indicator chart'!$D$1:$J$36,6,FALSE))</f>
        <v>600.9023710980907</v>
      </c>
      <c r="G26" s="38">
        <f>IF(LEFT(VLOOKUP($B26,'Indicator chart'!$D$1:$J$36,7,FALSE),1)=" "," ",VLOOKUP($B26,'Indicator chart'!$D$1:$J$36,7,FALSE))</f>
        <v>1094.9190499800195</v>
      </c>
      <c r="H26" s="50">
        <f t="shared" si="0"/>
        <v>2</v>
      </c>
      <c r="I26" s="38">
        <v>377.833740234375</v>
      </c>
      <c r="J26" s="38">
        <v>767.8316650390625</v>
      </c>
      <c r="K26" s="38">
        <v>908.4556274414062</v>
      </c>
      <c r="L26" s="38">
        <v>1107.0316162109375</v>
      </c>
      <c r="M26" s="38">
        <v>1714.4986572265625</v>
      </c>
      <c r="N26" s="80">
        <f>VLOOKUP('Hide - Control'!B$3,'All practice data'!A:CA,A26+29,FALSE)</f>
        <v>953.3950399510794</v>
      </c>
      <c r="O26" s="80">
        <f>VLOOKUP('Hide - Control'!C$3,'All practice data'!A:CA,A26+29,FALSE)</f>
        <v>405.57105879375996</v>
      </c>
      <c r="P26" s="38">
        <f>VLOOKUP('Hide - Control'!$B$4,'All practice data'!B:BC,A26+2,FALSE)</f>
        <v>4459</v>
      </c>
      <c r="Q26" s="38">
        <f>VLOOKUP('Hide - Control'!$B$4,'All practice data'!B:BC,3,FALSE)</f>
        <v>467697</v>
      </c>
      <c r="R26" s="38">
        <f t="shared" si="21"/>
        <v>925.6140330812931</v>
      </c>
      <c r="S26" s="38">
        <f t="shared" si="22"/>
        <v>981.7980367476279</v>
      </c>
      <c r="T26" s="53">
        <f t="shared" si="19"/>
        <v>1714.4986572265625</v>
      </c>
      <c r="U26" s="51">
        <f t="shared" si="20"/>
        <v>377.833740234375</v>
      </c>
      <c r="V26" s="7"/>
      <c r="W26" s="27">
        <f t="shared" si="2"/>
        <v>102.41259765625</v>
      </c>
      <c r="X26" s="27">
        <f t="shared" si="3"/>
        <v>1714.4986572265625</v>
      </c>
      <c r="Y26" s="27">
        <f t="shared" si="4"/>
        <v>102.41259765625</v>
      </c>
      <c r="Z26" s="27">
        <f t="shared" si="5"/>
        <v>1714.4986572265625</v>
      </c>
      <c r="AA26" s="32">
        <f t="shared" si="6"/>
        <v>0.17084766718442818</v>
      </c>
      <c r="AB26" s="33">
        <f t="shared" si="7"/>
        <v>0.4127689483030293</v>
      </c>
      <c r="AC26" s="33">
        <v>0.5</v>
      </c>
      <c r="AD26" s="33">
        <f t="shared" si="8"/>
        <v>0.6231795210873915</v>
      </c>
      <c r="AE26" s="33">
        <f t="shared" si="9"/>
        <v>1</v>
      </c>
      <c r="AF26" s="33">
        <f t="shared" si="10"/>
        <v>-999</v>
      </c>
      <c r="AG26" s="33">
        <f t="shared" si="11"/>
        <v>0.4456521744670407</v>
      </c>
      <c r="AH26" s="33">
        <f t="shared" si="12"/>
        <v>-999</v>
      </c>
      <c r="AI26" s="34">
        <f t="shared" si="13"/>
        <v>0.18805352191824934</v>
      </c>
      <c r="AJ26" s="4">
        <v>23.145964374695435</v>
      </c>
      <c r="AK26" s="32">
        <f t="shared" si="14"/>
        <v>-999</v>
      </c>
      <c r="AL26" s="34">
        <f t="shared" si="15"/>
        <v>-999</v>
      </c>
      <c r="AY26" s="103" t="s">
        <v>120</v>
      </c>
      <c r="AZ26" s="103" t="s">
        <v>406</v>
      </c>
      <c r="BA26" s="103" t="s">
        <v>333</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70</v>
      </c>
      <c r="E27" s="38">
        <f>IF(LEFT(VLOOKUP($B27,'Indicator chart'!$D$1:$J$36,5,FALSE),1)=" "," ",VLOOKUP($B27,'Indicator chart'!$D$1:$J$36,5,FALSE))</f>
        <v>1249.1077801570307</v>
      </c>
      <c r="F27" s="38">
        <f>IF(LEFT(VLOOKUP($B27,'Indicator chart'!$D$1:$J$36,6,FALSE),1)=" "," ",VLOOKUP($B27,'Indicator chart'!$D$1:$J$36,6,FALSE))</f>
        <v>973.694605524842</v>
      </c>
      <c r="G27" s="38">
        <f>IF(LEFT(VLOOKUP($B27,'Indicator chart'!$D$1:$J$36,7,FALSE),1)=" "," ",VLOOKUP($B27,'Indicator chart'!$D$1:$J$36,7,FALSE))</f>
        <v>1578.2015785470899</v>
      </c>
      <c r="H27" s="50">
        <f t="shared" si="0"/>
        <v>2</v>
      </c>
      <c r="I27" s="38">
        <v>684.1715698242188</v>
      </c>
      <c r="J27" s="38">
        <v>1079.1885986328125</v>
      </c>
      <c r="K27" s="38">
        <v>1264.7032470703125</v>
      </c>
      <c r="L27" s="38">
        <v>1484.6043701171875</v>
      </c>
      <c r="M27" s="38">
        <v>2261.150390625</v>
      </c>
      <c r="N27" s="80">
        <f>VLOOKUP('Hide - Control'!B$3,'All practice data'!A:CA,A27+29,FALSE)</f>
        <v>1291.2205979512376</v>
      </c>
      <c r="O27" s="80">
        <f>VLOOKUP('Hide - Control'!C$3,'All practice data'!A:CA,A27+29,FALSE)</f>
        <v>1059.3522061277838</v>
      </c>
      <c r="P27" s="38">
        <f>VLOOKUP('Hide - Control'!$B$4,'All practice data'!B:BC,A27+2,FALSE)</f>
        <v>6039</v>
      </c>
      <c r="Q27" s="38">
        <f>VLOOKUP('Hide - Control'!$B$4,'All practice data'!B:BC,3,FALSE)</f>
        <v>467697</v>
      </c>
      <c r="R27" s="38">
        <f t="shared" si="21"/>
        <v>1258.8568309649247</v>
      </c>
      <c r="S27" s="38">
        <f t="shared" si="22"/>
        <v>1324.2059159886726</v>
      </c>
      <c r="T27" s="53">
        <f t="shared" si="19"/>
        <v>2261.150390625</v>
      </c>
      <c r="U27" s="51">
        <f t="shared" si="20"/>
        <v>684.1715698242188</v>
      </c>
      <c r="V27" s="7"/>
      <c r="W27" s="27">
        <f t="shared" si="2"/>
        <v>268.256103515625</v>
      </c>
      <c r="X27" s="27">
        <f t="shared" si="3"/>
        <v>2261.150390625</v>
      </c>
      <c r="Y27" s="27">
        <f t="shared" si="4"/>
        <v>268.256103515625</v>
      </c>
      <c r="Z27" s="27">
        <f t="shared" si="5"/>
        <v>2261.150390625</v>
      </c>
      <c r="AA27" s="32">
        <f t="shared" si="6"/>
        <v>0.20869921149298135</v>
      </c>
      <c r="AB27" s="33">
        <f t="shared" si="7"/>
        <v>0.40691194729320906</v>
      </c>
      <c r="AC27" s="33">
        <v>0.5</v>
      </c>
      <c r="AD27" s="33">
        <f t="shared" si="8"/>
        <v>0.6103425929158711</v>
      </c>
      <c r="AE27" s="33">
        <f t="shared" si="9"/>
        <v>1</v>
      </c>
      <c r="AF27" s="33">
        <f t="shared" si="10"/>
        <v>-999</v>
      </c>
      <c r="AG27" s="33">
        <f t="shared" si="11"/>
        <v>0.49217446353569383</v>
      </c>
      <c r="AH27" s="33">
        <f t="shared" si="12"/>
        <v>-999</v>
      </c>
      <c r="AI27" s="34">
        <f t="shared" si="13"/>
        <v>0.39695838747152845</v>
      </c>
      <c r="AJ27" s="4">
        <v>24.221959800077364</v>
      </c>
      <c r="AK27" s="32">
        <f t="shared" si="14"/>
        <v>-999</v>
      </c>
      <c r="AL27" s="34">
        <f t="shared" si="15"/>
        <v>-999</v>
      </c>
      <c r="AY27" s="103" t="s">
        <v>115</v>
      </c>
      <c r="AZ27" s="103" t="s">
        <v>405</v>
      </c>
      <c r="BA27" s="103" t="s">
        <v>514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32</v>
      </c>
      <c r="E28" s="38">
        <f>IF(LEFT(VLOOKUP($B28,'Indicator chart'!$D$1:$J$36,5,FALSE),1)=" "," ",VLOOKUP($B28,'Indicator chart'!$D$1:$J$36,5,FALSE))</f>
        <v>571.0206995003568</v>
      </c>
      <c r="F28" s="38">
        <f>IF(LEFT(VLOOKUP($B28,'Indicator chart'!$D$1:$J$36,6,FALSE),1)=" "," ",VLOOKUP($B28,'Indicator chart'!$D$1:$J$36,6,FALSE))</f>
        <v>390.5074914760032</v>
      </c>
      <c r="G28" s="38">
        <f>IF(LEFT(VLOOKUP($B28,'Indicator chart'!$D$1:$J$36,7,FALSE),1)=" "," ",VLOOKUP($B28,'Indicator chart'!$D$1:$J$36,7,FALSE))</f>
        <v>806.1421268425589</v>
      </c>
      <c r="H28" s="50">
        <f t="shared" si="0"/>
        <v>2</v>
      </c>
      <c r="I28" s="38">
        <v>238.14248657226562</v>
      </c>
      <c r="J28" s="38">
        <v>561.5703125</v>
      </c>
      <c r="K28" s="38">
        <v>648.8294067382812</v>
      </c>
      <c r="L28" s="38">
        <v>740.5436401367188</v>
      </c>
      <c r="M28" s="38">
        <v>1203.686279296875</v>
      </c>
      <c r="N28" s="80">
        <f>VLOOKUP('Hide - Control'!B$3,'All practice data'!A:CA,A28+29,FALSE)</f>
        <v>658.3322108117007</v>
      </c>
      <c r="O28" s="80">
        <f>VLOOKUP('Hide - Control'!C$3,'All practice data'!A:CA,A28+29,FALSE)</f>
        <v>582.9390489900089</v>
      </c>
      <c r="P28" s="38">
        <f>VLOOKUP('Hide - Control'!$B$4,'All practice data'!B:BC,A28+2,FALSE)</f>
        <v>3079</v>
      </c>
      <c r="Q28" s="38">
        <f>VLOOKUP('Hide - Control'!$B$4,'All practice data'!B:BC,3,FALSE)</f>
        <v>467697</v>
      </c>
      <c r="R28" s="38">
        <f>100000*(P28*(1-1/(9*P28)-1.96/(3*SQRT(P28)))^3)/Q28</f>
        <v>635.2814030652586</v>
      </c>
      <c r="S28" s="38">
        <f>100000*((P28+1)*(1-1/(9*(P28+1))+1.96/(3*SQRT(P28+1)))^3)/Q28</f>
        <v>682.0056421615095</v>
      </c>
      <c r="T28" s="53">
        <f t="shared" si="19"/>
        <v>1203.686279296875</v>
      </c>
      <c r="U28" s="51">
        <f t="shared" si="20"/>
        <v>238.14248657226562</v>
      </c>
      <c r="V28" s="7"/>
      <c r="W28" s="27">
        <f t="shared" si="2"/>
        <v>93.9725341796875</v>
      </c>
      <c r="X28" s="27">
        <f t="shared" si="3"/>
        <v>1203.686279296875</v>
      </c>
      <c r="Y28" s="27">
        <f t="shared" si="4"/>
        <v>93.9725341796875</v>
      </c>
      <c r="Z28" s="27">
        <f t="shared" si="5"/>
        <v>1203.686279296875</v>
      </c>
      <c r="AA28" s="32">
        <f t="shared" si="6"/>
        <v>0.12991634376607056</v>
      </c>
      <c r="AB28" s="33">
        <f t="shared" si="7"/>
        <v>0.42136792517689636</v>
      </c>
      <c r="AC28" s="33">
        <v>0.5</v>
      </c>
      <c r="AD28" s="33">
        <f t="shared" si="8"/>
        <v>0.5826467490395484</v>
      </c>
      <c r="AE28" s="33">
        <f t="shared" si="9"/>
        <v>1</v>
      </c>
      <c r="AF28" s="33">
        <f t="shared" si="10"/>
        <v>-999</v>
      </c>
      <c r="AG28" s="33">
        <f t="shared" si="11"/>
        <v>0.4298839835225185</v>
      </c>
      <c r="AH28" s="33">
        <f t="shared" si="12"/>
        <v>-999</v>
      </c>
      <c r="AI28" s="34">
        <f t="shared" si="13"/>
        <v>0.440624005029951</v>
      </c>
      <c r="AJ28" s="4">
        <v>25.297955225459287</v>
      </c>
      <c r="AK28" s="32">
        <f t="shared" si="14"/>
        <v>-999</v>
      </c>
      <c r="AL28" s="34">
        <f t="shared" si="15"/>
        <v>-999</v>
      </c>
      <c r="AY28" s="103" t="s">
        <v>241</v>
      </c>
      <c r="AZ28" s="103" t="s">
        <v>242</v>
      </c>
      <c r="BA28" s="103" t="s">
        <v>514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408</v>
      </c>
      <c r="BA29" s="103" t="s">
        <v>333</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333</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429</v>
      </c>
      <c r="BA31" s="103" t="s">
        <v>333</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388</v>
      </c>
      <c r="BA32" s="103" t="s">
        <v>333</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453</v>
      </c>
      <c r="BA33" s="103" t="s">
        <v>514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333</v>
      </c>
      <c r="BB34" s="10">
        <v>532801</v>
      </c>
      <c r="BE34" s="77"/>
      <c r="BF34" s="253"/>
    </row>
    <row r="35" spans="2:58" ht="12.75">
      <c r="B35" s="17" t="s">
        <v>41</v>
      </c>
      <c r="C35" s="18"/>
      <c r="H35" s="290" t="s">
        <v>576</v>
      </c>
      <c r="I35" s="291"/>
      <c r="Y35" s="43"/>
      <c r="Z35" s="44"/>
      <c r="AA35" s="44"/>
      <c r="AB35" s="43"/>
      <c r="AC35" s="43"/>
      <c r="AY35" s="103" t="s">
        <v>159</v>
      </c>
      <c r="AZ35" s="103" t="s">
        <v>421</v>
      </c>
      <c r="BA35" s="103" t="s">
        <v>333</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410</v>
      </c>
      <c r="BA36" s="103" t="s">
        <v>333</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427</v>
      </c>
      <c r="BA37" s="103" t="s">
        <v>333</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333</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333</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333</v>
      </c>
      <c r="BB40" s="10">
        <v>714731</v>
      </c>
      <c r="BF40" s="252"/>
    </row>
    <row r="41" spans="1:58" ht="12.75">
      <c r="A41" s="3"/>
      <c r="B41" s="71"/>
      <c r="C41" s="3"/>
      <c r="T41" s="13"/>
      <c r="U41" s="2"/>
      <c r="W41" s="2"/>
      <c r="X41" s="10"/>
      <c r="Y41" s="44"/>
      <c r="Z41" s="44"/>
      <c r="AA41" s="44"/>
      <c r="AB41" s="44"/>
      <c r="AC41" s="44"/>
      <c r="AD41" s="2"/>
      <c r="AE41" s="2"/>
      <c r="AY41" s="103" t="s">
        <v>272</v>
      </c>
      <c r="AZ41" s="103" t="s">
        <v>454</v>
      </c>
      <c r="BA41" s="103" t="s">
        <v>514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333</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451</v>
      </c>
      <c r="BA43" s="103" t="s">
        <v>333</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439</v>
      </c>
      <c r="BA44" s="103" t="s">
        <v>333</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333</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430</v>
      </c>
      <c r="BA46" s="103" t="s">
        <v>514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333</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434</v>
      </c>
      <c r="BA48" s="103" t="s">
        <v>514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445</v>
      </c>
      <c r="BA49" s="103" t="s">
        <v>514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333</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411</v>
      </c>
      <c r="BA51" s="103" t="s">
        <v>333</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333</v>
      </c>
      <c r="BB52" s="10">
        <v>611636</v>
      </c>
      <c r="BF52" s="252"/>
    </row>
    <row r="53" spans="1:58" ht="12.75">
      <c r="A53" s="3"/>
      <c r="B53" s="12"/>
      <c r="C53" s="3"/>
      <c r="I53" s="11"/>
      <c r="J53" s="11"/>
      <c r="K53" s="11"/>
      <c r="L53" s="11"/>
      <c r="S53" s="11"/>
      <c r="U53" s="2"/>
      <c r="X53" s="2"/>
      <c r="Y53" s="2"/>
      <c r="Z53" s="2"/>
      <c r="AA53" s="2"/>
      <c r="AB53" s="2"/>
      <c r="AY53" s="103" t="s">
        <v>244</v>
      </c>
      <c r="AZ53" s="103" t="s">
        <v>444</v>
      </c>
      <c r="BA53" s="103" t="s">
        <v>333</v>
      </c>
      <c r="BB53" s="10">
        <v>230998</v>
      </c>
      <c r="BF53" s="252"/>
    </row>
    <row r="54" spans="1:58" ht="12.75">
      <c r="A54" s="3"/>
      <c r="B54" s="12"/>
      <c r="C54" s="3"/>
      <c r="I54" s="11"/>
      <c r="J54" s="11"/>
      <c r="K54" s="11"/>
      <c r="L54" s="11"/>
      <c r="S54" s="11"/>
      <c r="U54" s="2"/>
      <c r="X54" s="2"/>
      <c r="Y54" s="2"/>
      <c r="Z54" s="2"/>
      <c r="AA54" s="2"/>
      <c r="AB54" s="2"/>
      <c r="AY54" s="103" t="s">
        <v>67</v>
      </c>
      <c r="AZ54" s="103" t="s">
        <v>385</v>
      </c>
      <c r="BA54" s="103" t="s">
        <v>333</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431</v>
      </c>
      <c r="BA55" s="103" t="s">
        <v>333</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401</v>
      </c>
      <c r="BA56" s="103" t="s">
        <v>333</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446</v>
      </c>
      <c r="BA57" s="103" t="s">
        <v>333</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391</v>
      </c>
      <c r="BA58" s="103" t="s">
        <v>333</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333</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333</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435</v>
      </c>
      <c r="BA61" s="103" t="s">
        <v>514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424</v>
      </c>
      <c r="BA63" s="103" t="s">
        <v>333</v>
      </c>
      <c r="BB63" s="10">
        <v>318405</v>
      </c>
      <c r="BE63" s="70"/>
      <c r="BF63" s="239"/>
    </row>
    <row r="64" spans="1:58" ht="12.75">
      <c r="A64" s="3"/>
      <c r="B64" s="12"/>
      <c r="C64" s="3"/>
      <c r="I64" s="11"/>
      <c r="V64" s="3"/>
      <c r="AY64" s="103" t="s">
        <v>78</v>
      </c>
      <c r="AZ64" s="103" t="s">
        <v>392</v>
      </c>
      <c r="BA64" s="103" t="s">
        <v>514</v>
      </c>
      <c r="BB64" s="10">
        <v>181285</v>
      </c>
      <c r="BE64" s="70"/>
      <c r="BF64" s="241"/>
    </row>
    <row r="65" spans="1:58" ht="12.75">
      <c r="A65" s="3"/>
      <c r="B65" s="12"/>
      <c r="C65" s="3"/>
      <c r="AY65" s="103" t="s">
        <v>503</v>
      </c>
      <c r="AZ65" s="103" t="s">
        <v>504</v>
      </c>
      <c r="BA65" s="103" t="s">
        <v>333</v>
      </c>
      <c r="BB65" s="10">
        <v>1169302</v>
      </c>
      <c r="BE65" s="70"/>
      <c r="BF65" s="241"/>
    </row>
    <row r="66" spans="1:58" ht="12.75">
      <c r="A66" s="3"/>
      <c r="B66" s="12"/>
      <c r="C66" s="3"/>
      <c r="E66" s="2"/>
      <c r="F66" s="2"/>
      <c r="G66" s="2"/>
      <c r="V66" s="2"/>
      <c r="AY66" s="103" t="s">
        <v>200</v>
      </c>
      <c r="AZ66" s="103" t="s">
        <v>432</v>
      </c>
      <c r="BA66" s="103" t="s">
        <v>333</v>
      </c>
      <c r="BB66" s="10">
        <v>217916</v>
      </c>
      <c r="BE66" s="70"/>
      <c r="BF66" s="239"/>
    </row>
    <row r="67" spans="1:58" ht="12.75">
      <c r="A67" s="3"/>
      <c r="B67" s="12"/>
      <c r="C67" s="3"/>
      <c r="AY67" s="103" t="s">
        <v>69</v>
      </c>
      <c r="AZ67" s="103" t="s">
        <v>70</v>
      </c>
      <c r="BA67" s="103" t="s">
        <v>333</v>
      </c>
      <c r="BB67" s="10">
        <v>270842</v>
      </c>
      <c r="BE67" s="70"/>
      <c r="BF67" s="239"/>
    </row>
    <row r="68" spans="1:58" ht="12.75">
      <c r="A68" s="3"/>
      <c r="B68" s="12"/>
      <c r="C68" s="3"/>
      <c r="AY68" s="103" t="s">
        <v>109</v>
      </c>
      <c r="AZ68" s="103" t="s">
        <v>110</v>
      </c>
      <c r="BA68" s="103" t="s">
        <v>333</v>
      </c>
      <c r="BB68" s="10">
        <v>251613</v>
      </c>
      <c r="BF68" s="252"/>
    </row>
    <row r="69" spans="1:58" ht="12.75">
      <c r="A69" s="3"/>
      <c r="B69" s="12"/>
      <c r="C69" s="3"/>
      <c r="AY69" s="103" t="s">
        <v>209</v>
      </c>
      <c r="AZ69" s="103" t="s">
        <v>210</v>
      </c>
      <c r="BA69" s="103" t="s">
        <v>333</v>
      </c>
      <c r="BB69" s="10">
        <v>283547</v>
      </c>
      <c r="BE69" s="70"/>
      <c r="BF69" s="241"/>
    </row>
    <row r="70" spans="1:58" ht="12.75">
      <c r="A70" s="3"/>
      <c r="B70" s="12"/>
      <c r="C70" s="3"/>
      <c r="AY70" s="103" t="s">
        <v>275</v>
      </c>
      <c r="AZ70" s="103" t="s">
        <v>455</v>
      </c>
      <c r="BA70" s="103" t="s">
        <v>513</v>
      </c>
      <c r="BB70" s="10">
        <v>141474</v>
      </c>
      <c r="BE70" s="70"/>
      <c r="BF70" s="239"/>
    </row>
    <row r="71" spans="1:58" ht="12.75">
      <c r="A71" s="3"/>
      <c r="B71" s="12"/>
      <c r="C71" s="3"/>
      <c r="AY71" s="103" t="s">
        <v>127</v>
      </c>
      <c r="AZ71" s="103" t="s">
        <v>409</v>
      </c>
      <c r="BA71" s="103" t="s">
        <v>333</v>
      </c>
      <c r="BB71" s="10">
        <v>213326</v>
      </c>
      <c r="BE71" s="70"/>
      <c r="BF71" s="239"/>
    </row>
    <row r="72" spans="1:58" ht="12.75">
      <c r="A72" s="3"/>
      <c r="B72" s="12"/>
      <c r="C72" s="3"/>
      <c r="AY72" s="103" t="s">
        <v>136</v>
      </c>
      <c r="AZ72" s="103" t="s">
        <v>137</v>
      </c>
      <c r="BA72" s="103" t="s">
        <v>333</v>
      </c>
      <c r="BB72" s="10">
        <v>183220</v>
      </c>
      <c r="BE72" s="250"/>
      <c r="BF72" s="239"/>
    </row>
    <row r="73" spans="1:58" ht="12.75">
      <c r="A73" s="3"/>
      <c r="B73" s="12"/>
      <c r="C73" s="3"/>
      <c r="AY73" s="103" t="s">
        <v>64</v>
      </c>
      <c r="AZ73" s="103" t="s">
        <v>384</v>
      </c>
      <c r="BA73" s="103" t="s">
        <v>333</v>
      </c>
      <c r="BB73" s="10">
        <v>190143</v>
      </c>
      <c r="BE73" s="70"/>
      <c r="BF73" s="239"/>
    </row>
    <row r="74" spans="1:58" ht="12.75">
      <c r="A74" s="3"/>
      <c r="B74" s="12"/>
      <c r="C74" s="3"/>
      <c r="AY74" s="103" t="s">
        <v>165</v>
      </c>
      <c r="AZ74" s="103" t="s">
        <v>166</v>
      </c>
      <c r="BA74" s="103" t="s">
        <v>514</v>
      </c>
      <c r="BB74" s="10">
        <v>419928</v>
      </c>
      <c r="BE74" s="70"/>
      <c r="BF74" s="241"/>
    </row>
    <row r="75" spans="1:58" ht="12.75">
      <c r="A75" s="3"/>
      <c r="B75" s="12"/>
      <c r="C75" s="3"/>
      <c r="AY75" s="103" t="s">
        <v>113</v>
      </c>
      <c r="AZ75" s="103" t="s">
        <v>403</v>
      </c>
      <c r="BA75" s="103" t="s">
        <v>333</v>
      </c>
      <c r="BB75" s="10">
        <v>158106</v>
      </c>
      <c r="BE75" s="70"/>
      <c r="BF75" s="241"/>
    </row>
    <row r="76" spans="1:58" ht="12.75">
      <c r="A76" s="3"/>
      <c r="B76" s="12"/>
      <c r="C76" s="3"/>
      <c r="AY76" s="103" t="s">
        <v>140</v>
      </c>
      <c r="AZ76" s="103" t="s">
        <v>141</v>
      </c>
      <c r="BA76" s="103" t="s">
        <v>333</v>
      </c>
      <c r="BB76" s="10">
        <v>377807</v>
      </c>
      <c r="BE76" s="70"/>
      <c r="BF76" s="241"/>
    </row>
    <row r="77" spans="1:58" ht="12.75">
      <c r="A77" s="3"/>
      <c r="B77" s="12"/>
      <c r="C77" s="3"/>
      <c r="AY77" s="103" t="s">
        <v>163</v>
      </c>
      <c r="AZ77" s="103" t="s">
        <v>164</v>
      </c>
      <c r="BA77" s="103" t="s">
        <v>514</v>
      </c>
      <c r="BB77" s="10">
        <v>799634</v>
      </c>
      <c r="BE77" s="70"/>
      <c r="BF77" s="249"/>
    </row>
    <row r="78" spans="1:58" ht="12.75">
      <c r="A78" s="3"/>
      <c r="B78" s="12"/>
      <c r="C78" s="3"/>
      <c r="AY78" s="103" t="s">
        <v>224</v>
      </c>
      <c r="AZ78" s="103" t="s">
        <v>225</v>
      </c>
      <c r="BA78" s="103" t="s">
        <v>333</v>
      </c>
      <c r="BB78" s="10">
        <v>362638</v>
      </c>
      <c r="BE78" s="70"/>
      <c r="BF78" s="239"/>
    </row>
    <row r="79" spans="1:58" ht="12.75">
      <c r="A79" s="3"/>
      <c r="B79" s="12"/>
      <c r="C79" s="3"/>
      <c r="AY79" s="103" t="s">
        <v>223</v>
      </c>
      <c r="AZ79" s="103" t="s">
        <v>437</v>
      </c>
      <c r="BA79" s="103" t="s">
        <v>333</v>
      </c>
      <c r="BB79" s="10">
        <v>678998</v>
      </c>
      <c r="BF79" s="239"/>
    </row>
    <row r="80" spans="1:58" ht="12.75">
      <c r="A80" s="3"/>
      <c r="B80" s="12"/>
      <c r="C80" s="3"/>
      <c r="AY80" s="103" t="s">
        <v>144</v>
      </c>
      <c r="AZ80" s="103" t="s">
        <v>145</v>
      </c>
      <c r="BA80" s="103" t="s">
        <v>333</v>
      </c>
      <c r="BB80" s="10">
        <v>290986</v>
      </c>
      <c r="BF80" s="252"/>
    </row>
    <row r="81" spans="1:58" ht="12.75">
      <c r="A81" s="3"/>
      <c r="B81" s="12"/>
      <c r="C81" s="3"/>
      <c r="AY81" s="103" t="s">
        <v>178</v>
      </c>
      <c r="AZ81" s="103" t="s">
        <v>426</v>
      </c>
      <c r="BA81" s="103" t="s">
        <v>514</v>
      </c>
      <c r="BB81" s="10">
        <v>747976</v>
      </c>
      <c r="BF81" s="252"/>
    </row>
    <row r="82" spans="1:58" ht="12.75">
      <c r="A82" s="3"/>
      <c r="B82" s="12"/>
      <c r="C82" s="3"/>
      <c r="AY82" s="103" t="s">
        <v>193</v>
      </c>
      <c r="AZ82" s="103" t="s">
        <v>194</v>
      </c>
      <c r="BA82" s="103" t="s">
        <v>333</v>
      </c>
      <c r="BB82" s="10">
        <v>489140</v>
      </c>
      <c r="BF82" s="252"/>
    </row>
    <row r="83" spans="1:58" ht="12.75">
      <c r="A83" s="3"/>
      <c r="B83" s="12"/>
      <c r="C83" s="3"/>
      <c r="AY83" s="103" t="s">
        <v>98</v>
      </c>
      <c r="AZ83" s="103" t="s">
        <v>400</v>
      </c>
      <c r="BA83" s="103" t="s">
        <v>514</v>
      </c>
      <c r="BB83" s="10">
        <v>208442</v>
      </c>
      <c r="BE83" s="70"/>
      <c r="BF83" s="241"/>
    </row>
    <row r="84" spans="1:58" ht="12.75">
      <c r="A84" s="3"/>
      <c r="B84" s="12"/>
      <c r="C84" s="3"/>
      <c r="AY84" s="103" t="s">
        <v>203</v>
      </c>
      <c r="AZ84" s="103" t="s">
        <v>204</v>
      </c>
      <c r="BA84" s="103" t="s">
        <v>514</v>
      </c>
      <c r="BB84" s="10">
        <v>545543</v>
      </c>
      <c r="BE84" s="70"/>
      <c r="BF84" s="241"/>
    </row>
    <row r="85" spans="1:58" ht="12.75">
      <c r="A85" s="3"/>
      <c r="B85" s="12"/>
      <c r="C85" s="3"/>
      <c r="AY85" s="103" t="s">
        <v>135</v>
      </c>
      <c r="AZ85" s="103" t="s">
        <v>415</v>
      </c>
      <c r="BA85" s="103" t="s">
        <v>514</v>
      </c>
      <c r="BB85" s="10">
        <v>274067</v>
      </c>
      <c r="BE85" s="70"/>
      <c r="BF85" s="241"/>
    </row>
    <row r="86" spans="1:58" ht="12.75">
      <c r="A86" s="3"/>
      <c r="B86" s="12"/>
      <c r="C86" s="3"/>
      <c r="AY86" s="103" t="s">
        <v>251</v>
      </c>
      <c r="AZ86" s="103" t="s">
        <v>252</v>
      </c>
      <c r="BA86" s="103" t="s">
        <v>514</v>
      </c>
      <c r="BB86" s="10">
        <v>374861</v>
      </c>
      <c r="BE86" s="70"/>
      <c r="BF86" s="249"/>
    </row>
    <row r="87" spans="1:58" ht="12.75">
      <c r="A87" s="3"/>
      <c r="B87" s="12"/>
      <c r="C87" s="3"/>
      <c r="AY87" s="103" t="s">
        <v>132</v>
      </c>
      <c r="AZ87" s="103" t="s">
        <v>133</v>
      </c>
      <c r="BA87" s="103" t="s">
        <v>333</v>
      </c>
      <c r="BB87" s="10">
        <v>153833</v>
      </c>
      <c r="BE87" s="70"/>
      <c r="BF87" s="249"/>
    </row>
    <row r="88" spans="1:58" ht="12.75">
      <c r="A88" s="3"/>
      <c r="B88" s="12"/>
      <c r="C88" s="3"/>
      <c r="AY88" s="103" t="s">
        <v>79</v>
      </c>
      <c r="AZ88" s="103" t="s">
        <v>80</v>
      </c>
      <c r="BA88" s="103" t="s">
        <v>514</v>
      </c>
      <c r="BB88" s="10">
        <v>258492</v>
      </c>
      <c r="BE88" s="70"/>
      <c r="BF88" s="241"/>
    </row>
    <row r="89" spans="1:58" ht="12.75">
      <c r="A89" s="3"/>
      <c r="B89" s="12"/>
      <c r="C89" s="3"/>
      <c r="AY89" s="103" t="s">
        <v>81</v>
      </c>
      <c r="AZ89" s="103" t="s">
        <v>393</v>
      </c>
      <c r="BA89" s="103" t="s">
        <v>333</v>
      </c>
      <c r="BB89" s="10">
        <v>283085</v>
      </c>
      <c r="BE89" s="70"/>
      <c r="BF89" s="241"/>
    </row>
    <row r="90" spans="1:58" ht="12.75">
      <c r="A90" s="3"/>
      <c r="B90" s="12"/>
      <c r="C90" s="3"/>
      <c r="AY90" s="103" t="s">
        <v>76</v>
      </c>
      <c r="AZ90" s="103" t="s">
        <v>390</v>
      </c>
      <c r="BA90" s="103" t="s">
        <v>333</v>
      </c>
      <c r="BB90" s="10">
        <v>357346</v>
      </c>
      <c r="BE90" s="70"/>
      <c r="BF90" s="241"/>
    </row>
    <row r="91" spans="1:58" ht="12.75">
      <c r="A91" s="3"/>
      <c r="B91" s="12"/>
      <c r="C91" s="3"/>
      <c r="AY91" s="103" t="s">
        <v>243</v>
      </c>
      <c r="AZ91" s="103" t="s">
        <v>443</v>
      </c>
      <c r="BA91" s="103" t="s">
        <v>514</v>
      </c>
      <c r="BB91" s="10">
        <v>748575</v>
      </c>
      <c r="BE91" s="247"/>
      <c r="BF91" s="249"/>
    </row>
    <row r="92" spans="1:58" ht="12.75">
      <c r="A92" s="3"/>
      <c r="B92" s="12"/>
      <c r="C92" s="3"/>
      <c r="AY92" s="103" t="s">
        <v>249</v>
      </c>
      <c r="AZ92" s="103" t="s">
        <v>250</v>
      </c>
      <c r="BA92" s="103" t="s">
        <v>514</v>
      </c>
      <c r="BB92" s="10">
        <v>322673</v>
      </c>
      <c r="BE92" s="247"/>
      <c r="BF92" s="249"/>
    </row>
    <row r="93" spans="1:58" ht="12.75">
      <c r="A93" s="3"/>
      <c r="B93" s="12"/>
      <c r="C93" s="3"/>
      <c r="AY93" s="103" t="s">
        <v>58</v>
      </c>
      <c r="AZ93" s="103" t="s">
        <v>59</v>
      </c>
      <c r="BA93" s="103" t="s">
        <v>333</v>
      </c>
      <c r="BB93" s="10">
        <v>165284</v>
      </c>
      <c r="BF93" s="252"/>
    </row>
    <row r="94" spans="1:58" ht="12.75">
      <c r="A94" s="3"/>
      <c r="B94" s="12"/>
      <c r="C94" s="3"/>
      <c r="AY94" s="103" t="s">
        <v>186</v>
      </c>
      <c r="AZ94" s="103" t="s">
        <v>428</v>
      </c>
      <c r="BA94" s="103" t="s">
        <v>333</v>
      </c>
      <c r="BB94" s="10">
        <v>339272</v>
      </c>
      <c r="BE94" s="70"/>
      <c r="BF94" s="241"/>
    </row>
    <row r="95" spans="1:58" ht="12.75">
      <c r="A95" s="3"/>
      <c r="B95" s="12"/>
      <c r="C95" s="3"/>
      <c r="AY95" s="103" t="s">
        <v>86</v>
      </c>
      <c r="AZ95" s="103" t="s">
        <v>87</v>
      </c>
      <c r="BA95" s="103" t="s">
        <v>333</v>
      </c>
      <c r="BB95" s="10">
        <v>165642</v>
      </c>
      <c r="BE95" s="247"/>
      <c r="BF95" s="249"/>
    </row>
    <row r="96" spans="1:58" ht="12.75">
      <c r="A96" s="3"/>
      <c r="B96" s="12"/>
      <c r="C96" s="3"/>
      <c r="AY96" s="103" t="s">
        <v>157</v>
      </c>
      <c r="AZ96" s="103" t="s">
        <v>158</v>
      </c>
      <c r="BA96" s="103" t="s">
        <v>333</v>
      </c>
      <c r="BB96" s="10">
        <v>208351</v>
      </c>
      <c r="BE96" s="243"/>
      <c r="BF96" s="238"/>
    </row>
    <row r="97" spans="1:58" ht="12.75">
      <c r="A97" s="3"/>
      <c r="B97" s="12"/>
      <c r="C97" s="3"/>
      <c r="AY97" s="103" t="s">
        <v>231</v>
      </c>
      <c r="AZ97" s="103" t="s">
        <v>232</v>
      </c>
      <c r="BA97" s="103" t="s">
        <v>333</v>
      </c>
      <c r="BB97" s="10">
        <v>203178</v>
      </c>
      <c r="BE97" s="243"/>
      <c r="BF97" s="238"/>
    </row>
    <row r="98" spans="1:58" ht="12.75">
      <c r="A98" s="3"/>
      <c r="B98" s="12"/>
      <c r="C98" s="3"/>
      <c r="AY98" s="103" t="s">
        <v>82</v>
      </c>
      <c r="AZ98" s="103" t="s">
        <v>394</v>
      </c>
      <c r="BA98" s="103" t="s">
        <v>333</v>
      </c>
      <c r="BB98" s="10">
        <v>214052</v>
      </c>
      <c r="BE98" s="248"/>
      <c r="BF98" s="241"/>
    </row>
    <row r="99" spans="1:58" ht="12.75">
      <c r="A99" s="3"/>
      <c r="B99" s="12"/>
      <c r="C99" s="3"/>
      <c r="AY99" s="103" t="s">
        <v>205</v>
      </c>
      <c r="AZ99" s="103" t="s">
        <v>206</v>
      </c>
      <c r="BA99" s="103" t="s">
        <v>514</v>
      </c>
      <c r="BB99" s="10">
        <v>795503</v>
      </c>
      <c r="BE99" s="70"/>
      <c r="BF99" s="249"/>
    </row>
    <row r="100" spans="1:58" ht="12.75">
      <c r="A100" s="3"/>
      <c r="B100" s="12"/>
      <c r="C100" s="3"/>
      <c r="AY100" s="103" t="s">
        <v>226</v>
      </c>
      <c r="AZ100" s="103" t="s">
        <v>438</v>
      </c>
      <c r="BA100" s="103" t="s">
        <v>333</v>
      </c>
      <c r="BB100" s="10">
        <v>648340</v>
      </c>
      <c r="BE100" s="70"/>
      <c r="BF100" s="249"/>
    </row>
    <row r="101" spans="51:58" ht="12.75">
      <c r="AY101" s="103" t="s">
        <v>51</v>
      </c>
      <c r="AZ101" s="103" t="s">
        <v>52</v>
      </c>
      <c r="BA101" s="103" t="s">
        <v>333</v>
      </c>
      <c r="BB101" s="10">
        <v>320818</v>
      </c>
      <c r="BE101" s="237"/>
      <c r="BF101" s="238"/>
    </row>
    <row r="102" spans="51:58" ht="12.75">
      <c r="AY102" s="103" t="s">
        <v>88</v>
      </c>
      <c r="AZ102" s="103" t="s">
        <v>89</v>
      </c>
      <c r="BA102" s="103" t="s">
        <v>333</v>
      </c>
      <c r="BB102" s="10">
        <v>339920</v>
      </c>
      <c r="BE102" s="237"/>
      <c r="BF102" s="238"/>
    </row>
    <row r="103" spans="51:58" ht="12.75">
      <c r="AY103" s="103" t="s">
        <v>177</v>
      </c>
      <c r="AZ103" s="103" t="s">
        <v>425</v>
      </c>
      <c r="BA103" s="103" t="s">
        <v>333</v>
      </c>
      <c r="BB103" s="10">
        <v>656875</v>
      </c>
      <c r="BE103" s="70"/>
      <c r="BF103" s="239"/>
    </row>
    <row r="104" spans="51:58" ht="12.75">
      <c r="AY104" s="103" t="s">
        <v>114</v>
      </c>
      <c r="AZ104" s="103" t="s">
        <v>404</v>
      </c>
      <c r="BA104" s="103" t="s">
        <v>333</v>
      </c>
      <c r="BB104" s="10">
        <v>236592</v>
      </c>
      <c r="BF104" s="252"/>
    </row>
    <row r="105" spans="51:58" ht="12.75">
      <c r="AY105" s="103" t="s">
        <v>259</v>
      </c>
      <c r="AZ105" s="103" t="s">
        <v>447</v>
      </c>
      <c r="BA105" s="103" t="s">
        <v>514</v>
      </c>
      <c r="BB105" s="10">
        <v>671572</v>
      </c>
      <c r="BE105" s="237"/>
      <c r="BF105" s="238"/>
    </row>
    <row r="106" spans="51:58" ht="12.75">
      <c r="AY106" s="103" t="s">
        <v>239</v>
      </c>
      <c r="AZ106" s="103" t="s">
        <v>240</v>
      </c>
      <c r="BA106" s="103" t="s">
        <v>514</v>
      </c>
      <c r="BB106" s="10">
        <v>177882</v>
      </c>
      <c r="BF106" s="252"/>
    </row>
    <row r="107" spans="51:58" ht="12.75">
      <c r="AY107" s="103" t="s">
        <v>91</v>
      </c>
      <c r="AZ107" s="103" t="s">
        <v>397</v>
      </c>
      <c r="BA107" s="103" t="s">
        <v>333</v>
      </c>
      <c r="BB107" s="10">
        <v>274443</v>
      </c>
      <c r="BF107" s="252"/>
    </row>
    <row r="108" spans="51:58" ht="12.75">
      <c r="AY108" s="103" t="s">
        <v>95</v>
      </c>
      <c r="AZ108" s="103" t="s">
        <v>399</v>
      </c>
      <c r="BA108" s="103" t="s">
        <v>333</v>
      </c>
      <c r="BB108" s="10">
        <v>213174</v>
      </c>
      <c r="BE108" s="70"/>
      <c r="BF108" s="239"/>
    </row>
    <row r="109" spans="51:58" ht="12.75">
      <c r="AY109" s="103" t="s">
        <v>179</v>
      </c>
      <c r="AZ109" s="103" t="s">
        <v>180</v>
      </c>
      <c r="BA109" s="103" t="s">
        <v>333</v>
      </c>
      <c r="BB109" s="10">
        <v>278950</v>
      </c>
      <c r="BE109" s="237"/>
      <c r="BF109" s="238"/>
    </row>
    <row r="110" spans="51:58" ht="12.75">
      <c r="AY110" s="103" t="s">
        <v>273</v>
      </c>
      <c r="AZ110" s="103" t="s">
        <v>274</v>
      </c>
      <c r="BA110" s="103" t="s">
        <v>333</v>
      </c>
      <c r="BB110" s="10">
        <v>133304</v>
      </c>
      <c r="BE110" s="70"/>
      <c r="BF110" s="249"/>
    </row>
    <row r="111" spans="51:58" ht="12.75">
      <c r="AY111" s="103" t="s">
        <v>155</v>
      </c>
      <c r="AZ111" s="103" t="s">
        <v>419</v>
      </c>
      <c r="BA111" s="103" t="s">
        <v>333</v>
      </c>
      <c r="BB111" s="10">
        <v>197060</v>
      </c>
      <c r="BE111" s="70"/>
      <c r="BF111" s="239"/>
    </row>
    <row r="112" spans="51:58" ht="12.75">
      <c r="AY112" s="103" t="s">
        <v>100</v>
      </c>
      <c r="AZ112" s="103" t="s">
        <v>101</v>
      </c>
      <c r="BA112" s="103" t="s">
        <v>333</v>
      </c>
      <c r="BB112" s="10">
        <v>253140</v>
      </c>
      <c r="BE112" s="250"/>
      <c r="BF112" s="249"/>
    </row>
    <row r="113" spans="51:58" ht="12.75">
      <c r="AY113" s="103" t="s">
        <v>92</v>
      </c>
      <c r="AZ113" s="103" t="s">
        <v>93</v>
      </c>
      <c r="BA113" s="103" t="s">
        <v>333</v>
      </c>
      <c r="BB113" s="10">
        <v>240983</v>
      </c>
      <c r="BE113" s="70"/>
      <c r="BF113" s="241"/>
    </row>
    <row r="114" spans="51:58" ht="12.75">
      <c r="AY114" s="103" t="s">
        <v>228</v>
      </c>
      <c r="AZ114" s="103" t="s">
        <v>440</v>
      </c>
      <c r="BA114" s="103" t="s">
        <v>333</v>
      </c>
      <c r="BB114" s="10">
        <v>340451</v>
      </c>
      <c r="BF114" s="241"/>
    </row>
    <row r="115" spans="51:58" ht="12.75">
      <c r="AY115" s="103" t="s">
        <v>189</v>
      </c>
      <c r="AZ115" s="103" t="s">
        <v>190</v>
      </c>
      <c r="BA115" s="103" t="s">
        <v>333</v>
      </c>
      <c r="BB115" s="10">
        <v>280673</v>
      </c>
      <c r="BE115" s="248"/>
      <c r="BF115" s="241"/>
    </row>
    <row r="116" spans="51:58" ht="12.75">
      <c r="AY116" s="103" t="s">
        <v>169</v>
      </c>
      <c r="AZ116" s="103" t="s">
        <v>170</v>
      </c>
      <c r="BA116" s="103" t="s">
        <v>333</v>
      </c>
      <c r="BB116" s="10">
        <v>565874</v>
      </c>
      <c r="BE116" s="70"/>
      <c r="BF116" s="239"/>
    </row>
    <row r="117" spans="51:58" ht="12.75">
      <c r="AY117" s="103" t="s">
        <v>152</v>
      </c>
      <c r="AZ117" s="103" t="s">
        <v>418</v>
      </c>
      <c r="BA117" s="103" t="s">
        <v>514</v>
      </c>
      <c r="BB117" s="10">
        <v>295379</v>
      </c>
      <c r="BE117" s="237"/>
      <c r="BF117" s="238"/>
    </row>
    <row r="118" spans="51:58" ht="12.75">
      <c r="AY118" s="103" t="s">
        <v>56</v>
      </c>
      <c r="AZ118" s="103" t="s">
        <v>57</v>
      </c>
      <c r="BA118" s="103" t="s">
        <v>333</v>
      </c>
      <c r="BB118" s="10">
        <v>217094</v>
      </c>
      <c r="BE118" s="70"/>
      <c r="BF118" s="239"/>
    </row>
    <row r="119" spans="51:58" ht="12.75">
      <c r="AY119" s="103" t="s">
        <v>268</v>
      </c>
      <c r="AZ119" s="103" t="s">
        <v>450</v>
      </c>
      <c r="BA119" s="103" t="s">
        <v>333</v>
      </c>
      <c r="BB119" s="10">
        <v>538131</v>
      </c>
      <c r="BE119" s="70"/>
      <c r="BF119" s="239"/>
    </row>
    <row r="120" spans="51:58" ht="12.75">
      <c r="AY120" s="103" t="s">
        <v>150</v>
      </c>
      <c r="AZ120" s="103" t="s">
        <v>151</v>
      </c>
      <c r="BA120" s="103" t="s">
        <v>514</v>
      </c>
      <c r="BB120" s="10">
        <v>389725</v>
      </c>
      <c r="BE120" s="70"/>
      <c r="BF120" s="239"/>
    </row>
    <row r="121" spans="51:58" ht="12.75">
      <c r="AY121" s="103" t="s">
        <v>212</v>
      </c>
      <c r="AZ121" s="103" t="s">
        <v>213</v>
      </c>
      <c r="BA121" s="103" t="s">
        <v>514</v>
      </c>
      <c r="BB121" s="10">
        <v>356812</v>
      </c>
      <c r="BE121" s="237"/>
      <c r="BF121" s="238"/>
    </row>
    <row r="122" spans="51:58" ht="12.75">
      <c r="AY122" s="103" t="s">
        <v>60</v>
      </c>
      <c r="AZ122" s="103" t="s">
        <v>61</v>
      </c>
      <c r="BA122" s="103" t="s">
        <v>333</v>
      </c>
      <c r="BB122" s="10">
        <v>256321</v>
      </c>
      <c r="BE122" s="70"/>
      <c r="BF122" s="249"/>
    </row>
    <row r="123" spans="51:58" ht="12.75">
      <c r="AY123" s="103" t="s">
        <v>234</v>
      </c>
      <c r="AZ123" s="103" t="s">
        <v>442</v>
      </c>
      <c r="BA123" s="103" t="s">
        <v>514</v>
      </c>
      <c r="BB123" s="10">
        <v>615835</v>
      </c>
      <c r="BF123" s="252"/>
    </row>
    <row r="124" spans="51:58" ht="12.75">
      <c r="AY124" s="103" t="s">
        <v>130</v>
      </c>
      <c r="AZ124" s="103" t="s">
        <v>412</v>
      </c>
      <c r="BA124" s="103" t="s">
        <v>333</v>
      </c>
      <c r="BB124" s="10">
        <v>150179</v>
      </c>
      <c r="BF124" s="252"/>
    </row>
    <row r="125" spans="51:58" ht="12.75">
      <c r="AY125" s="103" t="s">
        <v>253</v>
      </c>
      <c r="AZ125" s="103" t="s">
        <v>254</v>
      </c>
      <c r="BA125" s="103" t="s">
        <v>333</v>
      </c>
      <c r="BB125" s="10">
        <v>420503</v>
      </c>
      <c r="BE125" s="70"/>
      <c r="BF125" s="249"/>
    </row>
    <row r="126" spans="51:58" ht="12.75">
      <c r="AY126" s="103" t="s">
        <v>134</v>
      </c>
      <c r="AZ126" s="103" t="s">
        <v>414</v>
      </c>
      <c r="BA126" s="103" t="s">
        <v>333</v>
      </c>
      <c r="BB126" s="10">
        <v>263936</v>
      </c>
      <c r="BE126" s="70"/>
      <c r="BF126" s="239"/>
    </row>
    <row r="127" spans="51:58" ht="12.75">
      <c r="AY127" s="103" t="s">
        <v>142</v>
      </c>
      <c r="AZ127" s="103" t="s">
        <v>143</v>
      </c>
      <c r="BA127" s="103" t="s">
        <v>333</v>
      </c>
      <c r="BB127" s="10">
        <v>308593</v>
      </c>
      <c r="BF127" s="252"/>
    </row>
    <row r="128" spans="51:58" ht="12.75">
      <c r="AY128" s="103" t="s">
        <v>94</v>
      </c>
      <c r="AZ128" s="103" t="s">
        <v>398</v>
      </c>
      <c r="BA128" s="103" t="s">
        <v>514</v>
      </c>
      <c r="BB128" s="10">
        <v>298190</v>
      </c>
      <c r="BE128" s="250"/>
      <c r="BF128" s="249"/>
    </row>
    <row r="129" spans="51:58" ht="12.75">
      <c r="AY129" s="103" t="s">
        <v>85</v>
      </c>
      <c r="AZ129" s="103" t="s">
        <v>395</v>
      </c>
      <c r="BA129" s="103" t="s">
        <v>333</v>
      </c>
      <c r="BB129" s="10">
        <v>191885</v>
      </c>
      <c r="BE129" s="70"/>
      <c r="BF129" s="249"/>
    </row>
    <row r="130" spans="51:58" ht="12.75">
      <c r="AY130" s="103" t="s">
        <v>233</v>
      </c>
      <c r="AZ130" s="103" t="s">
        <v>441</v>
      </c>
      <c r="BA130" s="103" t="s">
        <v>333</v>
      </c>
      <c r="BB130" s="10">
        <v>268223</v>
      </c>
      <c r="BE130" s="70"/>
      <c r="BF130" s="249"/>
    </row>
    <row r="131" spans="51:58" ht="12.75">
      <c r="AY131" s="103" t="s">
        <v>245</v>
      </c>
      <c r="AZ131" s="103" t="s">
        <v>246</v>
      </c>
      <c r="BA131" s="103" t="s">
        <v>514</v>
      </c>
      <c r="BB131" s="10">
        <v>616983</v>
      </c>
      <c r="BE131" s="247"/>
      <c r="BF131" s="249"/>
    </row>
    <row r="132" spans="51:58" ht="12.75">
      <c r="AY132" s="103" t="s">
        <v>131</v>
      </c>
      <c r="AZ132" s="103" t="s">
        <v>413</v>
      </c>
      <c r="BA132" s="103" t="s">
        <v>333</v>
      </c>
      <c r="BB132" s="10">
        <v>283991</v>
      </c>
      <c r="BE132" s="247"/>
      <c r="BF132" s="249"/>
    </row>
    <row r="133" spans="51:58" ht="12.75">
      <c r="AY133" s="103" t="s">
        <v>216</v>
      </c>
      <c r="AZ133" s="103" t="s">
        <v>217</v>
      </c>
      <c r="BA133" s="103" t="s">
        <v>333</v>
      </c>
      <c r="BB133" s="10">
        <v>1156805</v>
      </c>
      <c r="BE133" s="247"/>
      <c r="BF133" s="251"/>
    </row>
    <row r="134" spans="51:58" ht="12.75">
      <c r="AY134" s="103" t="s">
        <v>156</v>
      </c>
      <c r="AZ134" s="103" t="s">
        <v>420</v>
      </c>
      <c r="BA134" s="103" t="s">
        <v>333</v>
      </c>
      <c r="BB134" s="10">
        <v>390971</v>
      </c>
      <c r="BE134" s="243"/>
      <c r="BF134" s="238"/>
    </row>
    <row r="135" spans="51:58" ht="12.75">
      <c r="AY135" s="103" t="s">
        <v>121</v>
      </c>
      <c r="AZ135" s="103" t="s">
        <v>122</v>
      </c>
      <c r="BA135" s="103" t="s">
        <v>513</v>
      </c>
      <c r="BB135" s="10">
        <v>218182</v>
      </c>
      <c r="BE135" s="250"/>
      <c r="BF135" s="249"/>
    </row>
    <row r="136" spans="51:58" ht="12.75">
      <c r="AY136" s="103" t="s">
        <v>148</v>
      </c>
      <c r="AZ136" s="103" t="s">
        <v>416</v>
      </c>
      <c r="BA136" s="103" t="s">
        <v>514</v>
      </c>
      <c r="BB136" s="10">
        <v>236598</v>
      </c>
      <c r="BE136" s="237"/>
      <c r="BF136" s="238"/>
    </row>
    <row r="137" spans="51:58" ht="12.75">
      <c r="AY137" s="103" t="s">
        <v>160</v>
      </c>
      <c r="AZ137" s="103" t="s">
        <v>422</v>
      </c>
      <c r="BA137" s="103" t="s">
        <v>514</v>
      </c>
      <c r="BB137" s="10">
        <v>165993</v>
      </c>
      <c r="BF137" s="252"/>
    </row>
    <row r="138" spans="51:58" ht="12.75">
      <c r="AY138" s="103" t="s">
        <v>54</v>
      </c>
      <c r="AZ138" s="103" t="s">
        <v>55</v>
      </c>
      <c r="BA138" s="103" t="s">
        <v>333</v>
      </c>
      <c r="BB138" s="10">
        <v>145889</v>
      </c>
      <c r="BE138" s="70"/>
      <c r="BF138" s="239"/>
    </row>
    <row r="139" spans="51:58" ht="12.75">
      <c r="AY139" s="103" t="s">
        <v>75</v>
      </c>
      <c r="AZ139" s="103" t="s">
        <v>389</v>
      </c>
      <c r="BA139" s="103" t="s">
        <v>333</v>
      </c>
      <c r="BB139" s="10">
        <v>267393</v>
      </c>
      <c r="BE139" s="237"/>
      <c r="BF139" s="238"/>
    </row>
    <row r="140" spans="51:58" ht="12.75">
      <c r="AY140" s="103" t="s">
        <v>201</v>
      </c>
      <c r="AZ140" s="103" t="s">
        <v>202</v>
      </c>
      <c r="BA140" s="103" t="s">
        <v>514</v>
      </c>
      <c r="BB140" s="10">
        <v>232551</v>
      </c>
      <c r="BE140" s="70"/>
      <c r="BF140" s="239"/>
    </row>
    <row r="141" spans="51:58" ht="12.75">
      <c r="AY141" s="103" t="s">
        <v>167</v>
      </c>
      <c r="AZ141" s="103" t="s">
        <v>168</v>
      </c>
      <c r="BA141" s="103" t="s">
        <v>514</v>
      </c>
      <c r="BB141" s="10">
        <v>350958</v>
      </c>
      <c r="BE141" s="70"/>
      <c r="BF141" s="239"/>
    </row>
    <row r="142" spans="51:58" ht="12.75">
      <c r="AY142" s="103" t="s">
        <v>153</v>
      </c>
      <c r="AZ142" s="103" t="s">
        <v>154</v>
      </c>
      <c r="BA142" s="103" t="s">
        <v>333</v>
      </c>
      <c r="BB142" s="10">
        <v>265654</v>
      </c>
      <c r="BE142" s="70"/>
      <c r="BF142" s="241"/>
    </row>
    <row r="143" spans="51:58" ht="12.75">
      <c r="AY143" s="103" t="s">
        <v>181</v>
      </c>
      <c r="AZ143" s="103" t="s">
        <v>182</v>
      </c>
      <c r="BA143" s="103" t="s">
        <v>333</v>
      </c>
      <c r="BB143" s="10">
        <v>284466</v>
      </c>
      <c r="BE143" s="70"/>
      <c r="BF143" s="249"/>
    </row>
    <row r="144" spans="51:58" ht="12.75">
      <c r="AY144" s="103" t="s">
        <v>146</v>
      </c>
      <c r="AZ144" s="103" t="s">
        <v>147</v>
      </c>
      <c r="BA144" s="103" t="s">
        <v>333</v>
      </c>
      <c r="BB144" s="10">
        <v>319933</v>
      </c>
      <c r="BE144" s="70"/>
      <c r="BF144" s="241"/>
    </row>
    <row r="145" spans="51:58" ht="12.75">
      <c r="AY145" s="103" t="s">
        <v>111</v>
      </c>
      <c r="AZ145" s="103" t="s">
        <v>112</v>
      </c>
      <c r="BA145" s="103" t="s">
        <v>333</v>
      </c>
      <c r="BB145" s="10">
        <v>192336</v>
      </c>
      <c r="BE145" s="248"/>
      <c r="BF145" s="249"/>
    </row>
    <row r="146" spans="51:58" ht="12.75">
      <c r="AY146" s="103" t="s">
        <v>237</v>
      </c>
      <c r="AZ146" s="103" t="s">
        <v>238</v>
      </c>
      <c r="BA146" s="103" t="s">
        <v>333</v>
      </c>
      <c r="BB146" s="10">
        <v>548313</v>
      </c>
      <c r="BF146" s="252"/>
    </row>
    <row r="147" spans="51:58" ht="12.75">
      <c r="AY147" s="103" t="s">
        <v>247</v>
      </c>
      <c r="AZ147" s="103" t="s">
        <v>248</v>
      </c>
      <c r="BA147" s="103" t="s">
        <v>333</v>
      </c>
      <c r="BB147" s="10">
        <v>287229</v>
      </c>
      <c r="BF147" s="252"/>
    </row>
    <row r="148" spans="51:58" ht="12.75">
      <c r="AY148" s="103" t="s">
        <v>222</v>
      </c>
      <c r="AZ148" s="103" t="s">
        <v>436</v>
      </c>
      <c r="BA148" s="103" t="s">
        <v>514</v>
      </c>
      <c r="BB148" s="10">
        <v>707573</v>
      </c>
      <c r="BF148" s="252"/>
    </row>
    <row r="149" spans="51:58" ht="12.75">
      <c r="AY149" s="103" t="s">
        <v>218</v>
      </c>
      <c r="AZ149" s="103" t="s">
        <v>219</v>
      </c>
      <c r="BA149" s="103" t="s">
        <v>514</v>
      </c>
      <c r="BB149" s="10">
        <v>825533</v>
      </c>
      <c r="BE149" s="248"/>
      <c r="BF149" s="249"/>
    </row>
    <row r="150" spans="51:58" ht="12.75">
      <c r="AY150" s="103" t="s">
        <v>196</v>
      </c>
      <c r="AZ150" s="103" t="s">
        <v>197</v>
      </c>
      <c r="BA150" s="103" t="s">
        <v>333</v>
      </c>
      <c r="BB150" s="10">
        <v>259945</v>
      </c>
      <c r="BF150" s="252"/>
    </row>
    <row r="151" spans="51:58" ht="12.75">
      <c r="AY151" s="103" t="s">
        <v>138</v>
      </c>
      <c r="AZ151" s="103" t="s">
        <v>139</v>
      </c>
      <c r="BA151" s="103" t="s">
        <v>333</v>
      </c>
      <c r="BB151" s="10">
        <v>246573</v>
      </c>
      <c r="BF151" s="252"/>
    </row>
    <row r="152" spans="51:58" ht="12.75">
      <c r="AY152" s="103" t="s">
        <v>266</v>
      </c>
      <c r="AZ152" s="103" t="s">
        <v>267</v>
      </c>
      <c r="BA152" s="103" t="s">
        <v>514</v>
      </c>
      <c r="BB152" s="10">
        <v>462395</v>
      </c>
      <c r="BE152" s="250"/>
      <c r="BF152" s="239"/>
    </row>
    <row r="153" spans="51:58" ht="12.75">
      <c r="AY153" s="103" t="s">
        <v>191</v>
      </c>
      <c r="AZ153" s="103" t="s">
        <v>192</v>
      </c>
      <c r="BA153" s="103" t="s">
        <v>333</v>
      </c>
      <c r="BB153" s="10">
        <v>332176</v>
      </c>
      <c r="BF153" s="252"/>
    </row>
    <row r="154" spans="51:58" ht="12.75">
      <c r="AY154" s="103" t="s">
        <v>161</v>
      </c>
      <c r="AZ154" s="103" t="s">
        <v>423</v>
      </c>
      <c r="BA154" s="103" t="s">
        <v>333</v>
      </c>
      <c r="BB154" s="10">
        <v>246213</v>
      </c>
      <c r="BE154" s="237"/>
      <c r="BF154" s="238"/>
    </row>
    <row r="155" spans="51:58" ht="12.75">
      <c r="AY155" s="103" t="s">
        <v>235</v>
      </c>
      <c r="AZ155" s="103" t="s">
        <v>236</v>
      </c>
      <c r="BA155" s="103" t="s">
        <v>514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537</v>
      </c>
      <c r="B3" s="56" t="s">
        <v>199</v>
      </c>
      <c r="C3" s="56" t="s">
        <v>24</v>
      </c>
    </row>
    <row r="4" spans="1:2" ht="12.75">
      <c r="A4" s="76">
        <v>1</v>
      </c>
      <c r="B4" s="78" t="s">
        <v>198</v>
      </c>
    </row>
    <row r="5" ht="12.75">
      <c r="A5" s="280" t="s">
        <v>537</v>
      </c>
    </row>
    <row r="6" ht="12.75">
      <c r="A6" s="280" t="s">
        <v>577</v>
      </c>
    </row>
    <row r="7" ht="12.75">
      <c r="A7" s="280" t="s">
        <v>525</v>
      </c>
    </row>
    <row r="8" ht="12.75">
      <c r="A8" s="280" t="s">
        <v>564</v>
      </c>
    </row>
    <row r="9" ht="12.75">
      <c r="A9" s="280" t="s">
        <v>546</v>
      </c>
    </row>
    <row r="10" ht="12.75">
      <c r="A10" s="280" t="s">
        <v>548</v>
      </c>
    </row>
    <row r="11" ht="12.75">
      <c r="A11" s="280" t="s">
        <v>543</v>
      </c>
    </row>
    <row r="12" ht="12.75">
      <c r="A12" s="280" t="s">
        <v>555</v>
      </c>
    </row>
    <row r="13" ht="12.75">
      <c r="A13" s="280" t="s">
        <v>578</v>
      </c>
    </row>
    <row r="14" ht="12.75">
      <c r="A14" s="280" t="s">
        <v>540</v>
      </c>
    </row>
    <row r="15" ht="12.75">
      <c r="A15" s="280" t="s">
        <v>527</v>
      </c>
    </row>
    <row r="16" ht="12.75">
      <c r="A16" s="280" t="s">
        <v>531</v>
      </c>
    </row>
    <row r="17" ht="12.75">
      <c r="A17" s="280" t="s">
        <v>545</v>
      </c>
    </row>
    <row r="18" ht="12.75">
      <c r="A18" s="280" t="s">
        <v>547</v>
      </c>
    </row>
    <row r="19" ht="12.75">
      <c r="A19" s="280" t="s">
        <v>535</v>
      </c>
    </row>
    <row r="20" ht="12.75">
      <c r="A20" s="280" t="s">
        <v>533</v>
      </c>
    </row>
    <row r="21" ht="12.75">
      <c r="A21" s="280" t="s">
        <v>521</v>
      </c>
    </row>
    <row r="22" ht="12.75">
      <c r="A22" s="280" t="s">
        <v>518</v>
      </c>
    </row>
    <row r="23" ht="12.75">
      <c r="A23" s="280" t="s">
        <v>550</v>
      </c>
    </row>
    <row r="24" ht="12.75">
      <c r="A24" s="280" t="s">
        <v>539</v>
      </c>
    </row>
    <row r="25" ht="12.75">
      <c r="A25" s="280" t="s">
        <v>534</v>
      </c>
    </row>
    <row r="26" ht="12.75">
      <c r="A26" s="280" t="s">
        <v>524</v>
      </c>
    </row>
    <row r="27" ht="12.75">
      <c r="A27" s="280" t="s">
        <v>561</v>
      </c>
    </row>
    <row r="28" ht="12.75">
      <c r="A28" s="280" t="s">
        <v>558</v>
      </c>
    </row>
    <row r="29" ht="12.75">
      <c r="A29" s="280" t="s">
        <v>560</v>
      </c>
    </row>
    <row r="30" ht="12.75">
      <c r="A30" s="280" t="s">
        <v>523</v>
      </c>
    </row>
    <row r="31" ht="12.75">
      <c r="A31" s="280" t="s">
        <v>520</v>
      </c>
    </row>
    <row r="32" ht="12.75">
      <c r="A32" s="280" t="s">
        <v>532</v>
      </c>
    </row>
    <row r="33" ht="12.75">
      <c r="A33" s="280" t="s">
        <v>544</v>
      </c>
    </row>
    <row r="34" ht="12.75">
      <c r="A34" s="280" t="s">
        <v>556</v>
      </c>
    </row>
    <row r="35" ht="12.75">
      <c r="A35" s="280" t="s">
        <v>553</v>
      </c>
    </row>
    <row r="36" ht="12.75">
      <c r="A36" s="280" t="s">
        <v>549</v>
      </c>
    </row>
    <row r="37" ht="12.75">
      <c r="A37" s="280" t="s">
        <v>529</v>
      </c>
    </row>
    <row r="38" ht="12.75">
      <c r="A38" s="280" t="s">
        <v>565</v>
      </c>
    </row>
    <row r="39" ht="12.75">
      <c r="A39" s="280" t="s">
        <v>552</v>
      </c>
    </row>
    <row r="40" ht="12.75">
      <c r="A40" s="280" t="s">
        <v>530</v>
      </c>
    </row>
    <row r="41" ht="12.75">
      <c r="A41" s="280" t="s">
        <v>526</v>
      </c>
    </row>
    <row r="42" ht="12.75">
      <c r="A42" s="280" t="s">
        <v>566</v>
      </c>
    </row>
    <row r="43" ht="12.75">
      <c r="A43" s="280" t="s">
        <v>519</v>
      </c>
    </row>
    <row r="44" ht="12.75">
      <c r="A44" s="280" t="s">
        <v>522</v>
      </c>
    </row>
    <row r="45" ht="12.75">
      <c r="A45" s="280" t="s">
        <v>551</v>
      </c>
    </row>
    <row r="46" ht="12.75">
      <c r="A46" s="280" t="s">
        <v>536</v>
      </c>
    </row>
    <row r="47" ht="12.75">
      <c r="A47" s="280" t="s">
        <v>559</v>
      </c>
    </row>
    <row r="48" ht="12.75">
      <c r="A48" s="280" t="s">
        <v>563</v>
      </c>
    </row>
    <row r="49" ht="12.75">
      <c r="A49" s="280" t="s">
        <v>538</v>
      </c>
    </row>
    <row r="50" ht="12.75">
      <c r="A50" s="280" t="s">
        <v>528</v>
      </c>
    </row>
    <row r="51" ht="12.75">
      <c r="A51" s="280" t="s">
        <v>557</v>
      </c>
    </row>
    <row r="52" ht="12.75">
      <c r="A52" s="280" t="s">
        <v>541</v>
      </c>
    </row>
    <row r="53" ht="12.75">
      <c r="A53" s="280" t="s">
        <v>562</v>
      </c>
    </row>
    <row r="54" ht="12.75">
      <c r="A54" s="280" t="s">
        <v>554</v>
      </c>
    </row>
    <row r="55" ht="12.75">
      <c r="A55" s="280" t="s">
        <v>542</v>
      </c>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