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<sst xmlns="http://schemas.openxmlformats.org/spreadsheetml/2006/main" count="1397" uniqueCount="543">
  <si>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</si>
  <si>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</si>
  <si>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</si>
  <si>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</si>
  <si>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</si>
  <si>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</si>
  <si>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</si>
  <si>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</si>
  <si>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</si>
  <si>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</si>
  <si>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</si>
  <si>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</si>
  <si>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</si>
  <si>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</si>
  <si>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</si>
  <si>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</si>
  <si>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</si>
  <si>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</si>
  <si>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</si>
  <si>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</si>
  <si>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</si>
  <si>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</si>
  <si>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</si>
  <si>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</si>
  <si>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</si>
  <si>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</si>
  <si>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</si>
  <si>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</si>
  <si>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</si>
  <si>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</si>
  <si>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</si>
  <si>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</si>
  <si>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</si>
  <si>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</si>
  <si>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</si>
  <si>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</si>
  <si>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</si>
  <si>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</si>
  <si>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</si>
  <si>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</si>
  <si>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</si>
  <si>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</si>
  <si>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</si>
  <si>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</si>
  <si>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</si>
  <si>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</si>
  <si>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</si>
  <si>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</si>
  <si>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</si>
  <si>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</si>
  <si>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</si>
  <si>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</si>
  <si>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</si>
  <si>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</si>
  <si>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</si>
  <si>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</si>
  <si>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</si>
  <si>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</si>
  <si>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</si>
  <si>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</si>
  <si>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</si>
  <si>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</si>
  <si>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</si>
  <si>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</si>
  <si>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</si>
  <si>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</si>
  <si>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</si>
  <si>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</si>
  <si>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</si>
  <si>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</si>
  <si>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</si>
  <si>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</si>
  <si>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</si>
  <si>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</si>
  <si>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</si>
  <si>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</si>
  <si>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</si>
  <si>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</si>
  <si>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</si>
  <si>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</si>
  <si>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</si>
  <si>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</si>
  <si>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</si>
  <si>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</si>
  <si>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</si>
  <si>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</si>
  <si>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</si>
  <si>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</si>
  <si>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</si>
  <si>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</si>
  <si>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</si>
  <si>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</si>
  <si>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</si>
  <si>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</si>
  <si>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</si>
  <si>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</si>
  <si>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</si>
  <si>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</si>
  <si>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</si>
  <si>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</si>
  <si>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</si>
  <si>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</si>
  <si>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</si>
  <si>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</si>
  <si>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</si>
  <si>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</si>
  <si>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</si>
  <si>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</si>
  <si>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</si>
  <si>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</si>
  <si>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</si>
  <si>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</si>
  <si>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</si>
  <si>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</si>
  <si>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</si>
  <si>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</si>
  <si>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</si>
  <si>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</si>
  <si>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</si>
  <si>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</si>
  <si>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</si>
  <si>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</si>
  <si>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</si>
  <si>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</si>
  <si>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</si>
  <si>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</si>
  <si>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</si>
  <si>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</si>
  <si>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</si>
  <si>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</si>
  <si>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</si>
  <si>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</si>
  <si>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</si>
  <si>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</si>
  <si>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</si>
  <si>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</si>
  <si>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</si>
  <si>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</si>
  <si>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</si>
  <si>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</si>
  <si>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</si>
  <si>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</si>
  <si>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</si>
  <si>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</si>
  <si>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</si>
  <si>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</si>
  <si>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</si>
  <si>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</si>
  <si>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</si>
  <si>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</si>
  <si>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</si>
  <si>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</si>
  <si>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</si>
  <si>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</si>
  <si>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</si>
  <si>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</si>
  <si>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</si>
  <si>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</si>
  <si>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</si>
  <si>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</si>
  <si>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</si>
  <si>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</si>
  <si>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</si>
  <si>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</si>
  <si>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</si>
  <si>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</si>
  <si>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</si>
  <si>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</si>
  <si>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</si>
  <si>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</si>
  <si>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</si>
  <si>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</si>
  <si>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</si>
  <si>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</si>
  <si>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</si>
  <si>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</si>
  <si>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</si>
  <si>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</si>
  <si>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</si>
  <si>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</si>
  <si>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</si>
  <si>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</si>
  <si>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</si>
  <si>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</si>
  <si>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</si>
  <si>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</si>
  <si>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</si>
  <si>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</si>
  <si>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</si>
  <si>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</si>
  <si>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</si>
  <si>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</si>
  <si>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</si>
  <si>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</si>
  <si>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</si>
  <si>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</si>
  <si>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</si>
  <si>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</si>
  <si>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</si>
  <si>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</si>
  <si>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</si>
  <si>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</si>
  <si>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</si>
  <si>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</si>
  <si>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</si>
  <si>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</si>
  <si>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</si>
  <si>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</si>
  <si>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</si>
  <si>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</si>
  <si>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</si>
  <si>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</si>
  <si>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</si>
  <si>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</si>
  <si>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</si>
  <si>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</si>
  <si>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</si>
  <si>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</si>
  <si>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</si>
  <si>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</si>
  <si>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</si>
  <si>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</si>
  <si>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</si>
  <si>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</si>
  <si>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</si>
  <si>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</si>
  <si>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</si>
  <si>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</si>
  <si>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</si>
  <si>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</si>
  <si>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</si>
  <si>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</si>
  <si>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</si>
  <si>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</si>
  <si>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</si>
  <si>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</si>
  <si>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</si>
  <si>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</si>
  <si>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</si>
  <si>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</si>
  <si>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</si>
  <si>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</si>
  <si>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</si>
  <si>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</si>
  <si>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</si>
  <si>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</si>
  <si>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</si>
  <si>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</si>
  <si>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</si>
  <si>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</si>
  <si>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</si>
  <si>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</si>
  <si>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</si>
  <si>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</si>
  <si>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</si>
  <si>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</si>
  <si>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</si>
  <si>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</si>
  <si>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</si>
  <si>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</si>
  <si>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</si>
  <si>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</si>
  <si>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</si>
  <si>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</si>
  <si>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</si>
  <si>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</si>
  <si>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</si>
  <si>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</si>
  <si>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</si>
  <si>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</si>
  <si>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</si>
  <si>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</si>
  <si>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</si>
  <si>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</si>
  <si>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</si>
  <si>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</si>
  <si>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</si>
  <si>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</si>
  <si>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</si>
  <si>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</si>
  <si>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</si>
  <si>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</si>
  <si>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E81001</t>
  </si>
  <si>
    <t>E81005</t>
  </si>
  <si>
    <t>E81006</t>
  </si>
  <si>
    <t>E81010</t>
  </si>
  <si>
    <t>E81013</t>
  </si>
  <si>
    <t>E81016</t>
  </si>
  <si>
    <t>E81018</t>
  </si>
  <si>
    <t>E81025</t>
  </si>
  <si>
    <t>E81026</t>
  </si>
  <si>
    <t>E81028</t>
  </si>
  <si>
    <t>E81032</t>
  </si>
  <si>
    <t>E81040</t>
  </si>
  <si>
    <t>E81041</t>
  </si>
  <si>
    <t>E81048</t>
  </si>
  <si>
    <t>E81054</t>
  </si>
  <si>
    <t>E81063</t>
  </si>
  <si>
    <t>E81064</t>
  </si>
  <si>
    <t>E81065</t>
  </si>
  <si>
    <t>E81073</t>
  </si>
  <si>
    <t>E81075</t>
  </si>
  <si>
    <t>E81076</t>
  </si>
  <si>
    <t>E81612</t>
  </si>
  <si>
    <t>E81617</t>
  </si>
  <si>
    <t>E81618</t>
  </si>
  <si>
    <t>E81623</t>
  </si>
  <si>
    <t>E81631</t>
  </si>
  <si>
    <t>E81632</t>
  </si>
  <si>
    <t>E81633</t>
  </si>
  <si>
    <t>5CC</t>
  </si>
  <si>
    <t>Y02332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</si>
  <si>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</si>
  <si>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</si>
  <si>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</si>
  <si>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</si>
  <si>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</si>
  <si>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</si>
  <si>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</si>
  <si>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</si>
  <si>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</si>
  <si>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</si>
  <si>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</si>
  <si>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</si>
  <si>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</si>
  <si>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</si>
  <si>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</si>
  <si>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</si>
  <si>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</si>
  <si>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</si>
  <si>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</si>
  <si>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</si>
  <si>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</si>
  <si>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</si>
  <si>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</si>
  <si>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</si>
  <si>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</si>
  <si>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</si>
  <si>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</si>
  <si>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</si>
  <si>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</si>
  <si>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</si>
  <si>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</si>
  <si>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</si>
  <si>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</si>
  <si>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</si>
  <si>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</si>
  <si>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</si>
  <si>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</si>
  <si>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</si>
  <si>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</si>
  <si>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</si>
  <si>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</si>
  <si>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</si>
  <si>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</si>
  <si>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</si>
  <si>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</si>
  <si>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</si>
  <si>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</si>
  <si>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</si>
  <si>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</si>
  <si>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</si>
  <si>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</si>
  <si>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</si>
  <si>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</si>
  <si>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</si>
  <si>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</si>
  <si>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</si>
  <si>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</si>
  <si>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</si>
  <si>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</si>
  <si>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</si>
  <si>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</si>
  <si>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</si>
  <si>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</si>
  <si>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</si>
  <si>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</si>
  <si>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</si>
  <si>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</si>
  <si>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</si>
  <si>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</si>
  <si>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</si>
  <si>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</si>
  <si>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</si>
  <si>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</si>
  <si>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</si>
  <si>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</si>
  <si>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</si>
  <si>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</si>
  <si>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</si>
  <si>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</si>
  <si>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</si>
  <si>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</si>
  <si>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</si>
  <si>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</si>
  <si>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</si>
  <si>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</si>
  <si>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</si>
  <si>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</si>
  <si>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</si>
  <si>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</si>
  <si>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</si>
  <si>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</si>
  <si>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</si>
  <si>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</si>
  <si>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</si>
  <si>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</si>
  <si>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</si>
  <si>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</si>
  <si>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</si>
  <si>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</si>
  <si>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</si>
  <si>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</si>
  <si>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</si>
  <si>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</si>
  <si>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</si>
  <si>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</si>
  <si>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</si>
  <si>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</si>
  <si>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</si>
  <si>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</si>
  <si>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</si>
  <si>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</si>
  <si>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</si>
  <si>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</si>
  <si>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</si>
  <si>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</si>
  <si>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</si>
  <si>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</si>
  <si>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</si>
  <si>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</si>
  <si>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</si>
  <si>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</si>
  <si>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</si>
  <si>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</si>
  <si>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</si>
  <si>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</si>
  <si>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</si>
  <si>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</si>
  <si>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</si>
  <si>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</si>
  <si>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</si>
  <si>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</si>
  <si>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</si>
  <si>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</si>
  <si>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</si>
  <si>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</si>
  <si>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</si>
  <si>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</si>
  <si>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</si>
  <si>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</si>
  <si>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</si>
  <si>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</si>
  <si>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</si>
  <si>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</si>
  <si>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</si>
  <si>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</si>
  <si>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</si>
  <si>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</si>
  <si>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</si>
  <si>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</si>
  <si>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</si>
  <si>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</si>
  <si>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</si>
  <si>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</si>
  <si>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</si>
  <si>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</si>
  <si>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</si>
  <si>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</si>
  <si>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</si>
  <si>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</si>
  <si>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</si>
  <si>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</si>
  <si>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</si>
  <si>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</si>
  <si>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</si>
  <si>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</si>
  <si>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</si>
  <si>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</si>
  <si>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</si>
  <si>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</si>
  <si>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</si>
  <si>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</si>
  <si>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</si>
  <si>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</si>
  <si>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</si>
  <si>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</si>
  <si>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</si>
  <si>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</si>
  <si>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</si>
  <si>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</si>
  <si>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</si>
  <si>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</si>
  <si>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Y02463</t>
  </si>
  <si>
    <t>Y02464</t>
  </si>
  <si>
    <t>Y02477</t>
  </si>
  <si>
    <t>2010/11</t>
  </si>
  <si>
    <t>2008/09-2010/11</t>
  </si>
  <si>
    <t>2005/06-2010/11</t>
  </si>
  <si>
    <t>(E81001) DR I SALEH'S PRACTICE</t>
  </si>
  <si>
    <t>(E81005) DR SKP CHOUDHURY'S PRACTICE</t>
  </si>
  <si>
    <t>(E81006) DR SE WARRINER'S PRACTICE</t>
  </si>
  <si>
    <t>(E81010) DR WHM MATTA'S PRACTICE</t>
  </si>
  <si>
    <t>(E81013) DR HL MCGILL'S PRACTICE</t>
  </si>
  <si>
    <t>(E81016) DR LB YANNY'S PRACTICE</t>
  </si>
  <si>
    <t>(E81018) DR JK MARSDEN'S PRACTICE</t>
  </si>
  <si>
    <t>(E81025) THE OAKLEY SURGERY</t>
  </si>
  <si>
    <t>(E81026) LAKESIDE PRACTICE</t>
  </si>
  <si>
    <t>(E81028) DR R KHANCHANDANI'S PRACTICE</t>
  </si>
  <si>
    <t>(E81032) LEA VALE MEDICAL PRACTICE</t>
  </si>
  <si>
    <t>(E81040) DR KM SWAN'S PRACTICE</t>
  </si>
  <si>
    <t>(E81041) GARDENIA PRACTICE</t>
  </si>
  <si>
    <t>(E81048) BUTE HOUSE MEDICAL CENTRE</t>
  </si>
  <si>
    <t>(E81054) SUNDON PARK HEALTH CENTRE</t>
  </si>
  <si>
    <t>(E81063) DR K PRASAD'S PRACTICE</t>
  </si>
  <si>
    <t>(E81064) THE PETROS MEDICAL PRACTICE</t>
  </si>
  <si>
    <t>(E81065) DR SA SUBRAMONY'S PRACTICE</t>
  </si>
  <si>
    <t>(E81073) THE MEDICI MEDICAL PRACTICE</t>
  </si>
  <si>
    <t>(E81075) KINGFISHER PRACTICE</t>
  </si>
  <si>
    <t>(E81076) DR DV SHAH'S PRACTICE</t>
  </si>
  <si>
    <t>(E81617) DR PS BATH'S PRACTICE</t>
  </si>
  <si>
    <t>(E81618) DR MQ HODA'S PRACTICE</t>
  </si>
  <si>
    <t>(E81623) DR KD SHAH'S PRACTICE</t>
  </si>
  <si>
    <t>(E81631) DR A ZAMAN'S PRACTICE</t>
  </si>
  <si>
    <t>(E81632) BARTON HILLS MEDICAL GROUP</t>
  </si>
  <si>
    <t>(E81633) DR HA AR-RIKABY'S PRACTICE</t>
  </si>
  <si>
    <t>(Y02332) KINGSWAY HEALTH CENTRE</t>
  </si>
  <si>
    <t>(Y02463) GP LED WALK-IN CENTRE</t>
  </si>
  <si>
    <t>(Y02464) MOAKES MEDICAL CENTRE</t>
  </si>
  <si>
    <t>(Y02477) WHIPPERLEY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</si>
  <si>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</si>
  <si>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</si>
  <si>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</si>
  <si>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</si>
  <si>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</si>
  <si>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</si>
  <si>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</si>
  <si>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</si>
  <si>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</si>
  <si>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</si>
  <si>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(E81612) DRS MIRZA SUKHANI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</si>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</sst>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0.909091023004753</c:v>
                </c:pt>
                <c:pt idx="4">
                  <c:v>1</c:v>
                </c:pt>
                <c:pt idx="5">
                  <c:v>1</c:v>
                </c:pt>
                <c:pt idx="6">
                  <c:v>1</c:v>
                </c:pt>
                <c:pt idx="7">
                  <c:v>0.685916475216094</c:v>
                </c:pt>
                <c:pt idx="8">
                  <c:v>0.599999722838534</c:v>
                </c:pt>
                <c:pt idx="9">
                  <c:v>0.8158070337192325</c:v>
                </c:pt>
                <c:pt idx="10">
                  <c:v>0.7608220068927676</c:v>
                </c:pt>
                <c:pt idx="11">
                  <c:v>0.7745858546334056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0.6585506979708761</c:v>
                </c:pt>
                <c:pt idx="3">
                  <c:v>0.6818182249207173</c:v>
                </c:pt>
                <c:pt idx="4">
                  <c:v>0.6372759752737771</c:v>
                </c:pt>
                <c:pt idx="5">
                  <c:v>0.6535723736450124</c:v>
                </c:pt>
                <c:pt idx="6">
                  <c:v>0.6354166682835461</c:v>
                </c:pt>
                <c:pt idx="7">
                  <c:v>0.5938407568458485</c:v>
                </c:pt>
                <c:pt idx="8">
                  <c:v>0.544737481600055</c:v>
                </c:pt>
                <c:pt idx="9">
                  <c:v>0.5728886764271509</c:v>
                </c:pt>
                <c:pt idx="10">
                  <c:v>0.6288696723680122</c:v>
                </c:pt>
                <c:pt idx="11">
                  <c:v>0.5769340540163649</c:v>
                </c:pt>
                <c:pt idx="12">
                  <c:v>0.801840339672531</c:v>
                </c:pt>
                <c:pt idx="13">
                  <c:v>0</c:v>
                </c:pt>
                <c:pt idx="14">
                  <c:v>0.5296102132445895</c:v>
                </c:pt>
                <c:pt idx="15">
                  <c:v>0.6629709254809938</c:v>
                </c:pt>
                <c:pt idx="16">
                  <c:v>0.6238715065466008</c:v>
                </c:pt>
                <c:pt idx="17">
                  <c:v>0.6369492953592567</c:v>
                </c:pt>
                <c:pt idx="18">
                  <c:v>0.709934253909012</c:v>
                </c:pt>
                <c:pt idx="19">
                  <c:v>0.6977057337627066</c:v>
                </c:pt>
                <c:pt idx="20">
                  <c:v>0.6345369322627736</c:v>
                </c:pt>
                <c:pt idx="21">
                  <c:v>0.5272806004946012</c:v>
                </c:pt>
                <c:pt idx="22">
                  <c:v>0.5731967170784766</c:v>
                </c:pt>
                <c:pt idx="23">
                  <c:v>0.6059690673309909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0.3567934888519671</c:v>
                </c:pt>
                <c:pt idx="3">
                  <c:v>0.3181818428118385</c:v>
                </c:pt>
                <c:pt idx="4">
                  <c:v>0.3597123072084557</c:v>
                </c:pt>
                <c:pt idx="5">
                  <c:v>0.2803221762600114</c:v>
                </c:pt>
                <c:pt idx="6">
                  <c:v>0.33333334626836897</c:v>
                </c:pt>
                <c:pt idx="7">
                  <c:v>0.3895538870428372</c:v>
                </c:pt>
                <c:pt idx="8">
                  <c:v>0.37499982118615094</c:v>
                </c:pt>
                <c:pt idx="9">
                  <c:v>0.4130671741831484</c:v>
                </c:pt>
                <c:pt idx="10">
                  <c:v>0.3204281387098837</c:v>
                </c:pt>
                <c:pt idx="11">
                  <c:v>0.2889250855009999</c:v>
                </c:pt>
                <c:pt idx="12">
                  <c:v>0.2263134214525144</c:v>
                </c:pt>
                <c:pt idx="13">
                  <c:v>0</c:v>
                </c:pt>
                <c:pt idx="14">
                  <c:v>0.47353506757443703</c:v>
                </c:pt>
                <c:pt idx="15">
                  <c:v>0.4120878958767592</c:v>
                </c:pt>
                <c:pt idx="16">
                  <c:v>0.31044818782221584</c:v>
                </c:pt>
                <c:pt idx="17">
                  <c:v>0.42751451276162344</c:v>
                </c:pt>
                <c:pt idx="18">
                  <c:v>0.36821485477604826</c:v>
                </c:pt>
                <c:pt idx="19">
                  <c:v>0.2612415528170219</c:v>
                </c:pt>
                <c:pt idx="20">
                  <c:v>0.3733127459134856</c:v>
                </c:pt>
                <c:pt idx="21">
                  <c:v>0.42449363839758636</c:v>
                </c:pt>
                <c:pt idx="22">
                  <c:v>0.4001570788569377</c:v>
                </c:pt>
                <c:pt idx="23">
                  <c:v>0.3537412896719881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0.09745937928993599</c:v>
                </c:pt>
                <c:pt idx="3">
                  <c:v>0</c:v>
                </c:pt>
                <c:pt idx="4">
                  <c:v>0.23863122446236198</c:v>
                </c:pt>
                <c:pt idx="5">
                  <c:v>0.14805491251178254</c:v>
                </c:pt>
                <c:pt idx="6">
                  <c:v>0.1666666828354612</c:v>
                </c:pt>
                <c:pt idx="7">
                  <c:v>0</c:v>
                </c:pt>
                <c:pt idx="8">
                  <c:v>0</c:v>
                </c:pt>
                <c:pt idx="9">
                  <c:v>0</c:v>
                </c:pt>
                <c:pt idx="10">
                  <c:v>0</c:v>
                </c:pt>
                <c:pt idx="11">
                  <c:v>0</c:v>
                </c:pt>
                <c:pt idx="12">
                  <c:v>0.08958276211648668</c:v>
                </c:pt>
                <c:pt idx="13">
                  <c:v>0</c:v>
                </c:pt>
                <c:pt idx="14">
                  <c:v>0.45425380570230645</c:v>
                </c:pt>
                <c:pt idx="15">
                  <c:v>0.19418442100424613</c:v>
                </c:pt>
                <c:pt idx="16">
                  <c:v>0.3026777410984751</c:v>
                </c:pt>
                <c:pt idx="17">
                  <c:v>0.3766946692659857</c:v>
                </c:pt>
                <c:pt idx="18">
                  <c:v>0.28107827108774047</c:v>
                </c:pt>
                <c:pt idx="19">
                  <c:v>0.23507900439432272</c:v>
                </c:pt>
                <c:pt idx="20">
                  <c:v>0.3465518587494105</c:v>
                </c:pt>
                <c:pt idx="21">
                  <c:v>0.35755242816624044</c:v>
                </c:pt>
                <c:pt idx="22">
                  <c:v>0.2440910530470857</c:v>
                </c:pt>
                <c:pt idx="23">
                  <c:v>0.2300501685118893</c:v>
                </c:pt>
                <c:pt idx="24">
                  <c:v>0</c:v>
                </c:pt>
                <c:pt idx="25">
                  <c:v>0</c:v>
                </c:pt>
                <c:pt idx="26">
                  <c:v>0</c:v>
                </c:pt>
              </c:numCache>
            </c:numRef>
          </c:val>
        </c:ser>
        <c:overlap val="100"/>
        <c:gapWidth val="100"/>
        <c:axId val="20138381"/>
        <c:axId val="6047236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0.7548149722109004</c:v>
                </c:pt>
                <c:pt idx="3">
                  <c:v>0.2277695686408225</c:v>
                </c:pt>
                <c:pt idx="4">
                  <c:v>0.7009200879713858</c:v>
                </c:pt>
                <c:pt idx="5">
                  <c:v>0.7084720356481059</c:v>
                </c:pt>
                <c:pt idx="6">
                  <c:v>0.7475302714335839</c:v>
                </c:pt>
                <c:pt idx="7">
                  <c:v>0.553393544535249</c:v>
                </c:pt>
                <c:pt idx="8">
                  <c:v>0.5600556454373384</c:v>
                </c:pt>
                <c:pt idx="9">
                  <c:v>0.505739640911675</c:v>
                </c:pt>
                <c:pt idx="10">
                  <c:v>0.6444127477592821</c:v>
                </c:pt>
                <c:pt idx="11">
                  <c:v>0.693059955838307</c:v>
                </c:pt>
                <c:pt idx="12">
                  <c:v>1.0459012117783466</c:v>
                </c:pt>
                <c:pt idx="13">
                  <c:v>0.5</c:v>
                </c:pt>
                <c:pt idx="14">
                  <c:v>0.5035673421229875</c:v>
                </c:pt>
                <c:pt idx="15">
                  <c:v>0.6524624702196559</c:v>
                </c:pt>
                <c:pt idx="16">
                  <c:v>0.7575362525745303</c:v>
                </c:pt>
                <c:pt idx="17">
                  <c:v>0.691587659193624</c:v>
                </c:pt>
                <c:pt idx="18">
                  <c:v>0.5844902206422118</c:v>
                </c:pt>
                <c:pt idx="19">
                  <c:v>0.9806107613251104</c:v>
                </c:pt>
                <c:pt idx="20">
                  <c:v>0.7932813878366184</c:v>
                </c:pt>
                <c:pt idx="21">
                  <c:v>0.5390900230274456</c:v>
                </c:pt>
                <c:pt idx="22">
                  <c:v>0.7074396237035117</c:v>
                </c:pt>
                <c:pt idx="23">
                  <c:v>0.6389253665466489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0.5921677798257893</c:v>
                </c:pt>
                <c:pt idx="5">
                  <c:v>0.7598382154364757</c:v>
                </c:pt>
                <c:pt idx="6">
                  <c:v>-999</c:v>
                </c:pt>
                <c:pt idx="7">
                  <c:v>-999</c:v>
                </c:pt>
                <c:pt idx="8">
                  <c:v>-999</c:v>
                </c:pt>
                <c:pt idx="9">
                  <c:v>0.484347106565307</c:v>
                </c:pt>
                <c:pt idx="10">
                  <c:v>-999</c:v>
                </c:pt>
                <c:pt idx="11">
                  <c:v>0.5486980624806743</c:v>
                </c:pt>
                <c:pt idx="12">
                  <c:v>-999</c:v>
                </c:pt>
                <c:pt idx="13">
                  <c:v>-999</c:v>
                </c:pt>
                <c:pt idx="14">
                  <c:v>0.49496096630092623</c:v>
                </c:pt>
                <c:pt idx="15">
                  <c:v>0.45769229634450065</c:v>
                </c:pt>
                <c:pt idx="16">
                  <c:v>-999</c:v>
                </c:pt>
                <c:pt idx="17">
                  <c:v>0.6173116205920574</c:v>
                </c:pt>
                <c:pt idx="18">
                  <c:v>0.6921817244665381</c:v>
                </c:pt>
                <c:pt idx="19">
                  <c:v>0.5623428564041413</c:v>
                </c:pt>
                <c:pt idx="20">
                  <c:v>0.6540717882218717</c:v>
                </c:pt>
                <c:pt idx="21">
                  <c:v>0.5605061594380252</c:v>
                </c:pt>
                <c:pt idx="22">
                  <c:v>0.5478064653358485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0.7165570385889708</c:v>
                </c:pt>
                <c:pt idx="3">
                  <c:v>0.045454542006342614</c:v>
                </c:pt>
                <c:pt idx="4">
                  <c:v>-999</c:v>
                </c:pt>
                <c:pt idx="5">
                  <c:v>-999</c:v>
                </c:pt>
                <c:pt idx="6">
                  <c:v>0.6666666745311682</c:v>
                </c:pt>
                <c:pt idx="7">
                  <c:v>0.6859164549819546</c:v>
                </c:pt>
                <c:pt idx="8">
                  <c:v>0.5907597183038148</c:v>
                </c:pt>
                <c:pt idx="9">
                  <c:v>-999</c:v>
                </c:pt>
                <c:pt idx="10">
                  <c:v>0.6335880897513082</c:v>
                </c:pt>
                <c:pt idx="11">
                  <c:v>-999</c:v>
                </c:pt>
                <c:pt idx="12">
                  <c:v>0.8610814601982674</c:v>
                </c:pt>
                <c:pt idx="13">
                  <c:v>0.3863708592344223</c:v>
                </c:pt>
                <c:pt idx="14">
                  <c:v>-999</c:v>
                </c:pt>
                <c:pt idx="15">
                  <c:v>-999</c:v>
                </c:pt>
                <c:pt idx="16">
                  <c:v>0.846062960130055</c:v>
                </c:pt>
                <c:pt idx="17">
                  <c:v>-999</c:v>
                </c:pt>
                <c:pt idx="18">
                  <c:v>-999</c:v>
                </c:pt>
                <c:pt idx="19">
                  <c:v>-999</c:v>
                </c:pt>
                <c:pt idx="20">
                  <c:v>-999</c:v>
                </c:pt>
                <c:pt idx="21">
                  <c:v>-999</c:v>
                </c:pt>
                <c:pt idx="22">
                  <c:v>-999</c:v>
                </c:pt>
                <c:pt idx="23">
                  <c:v>0.781915960038257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943203"/>
        <c:axId val="19281864"/>
      </c:scatterChart>
      <c:catAx>
        <c:axId val="20138381"/>
        <c:scaling>
          <c:orientation val="maxMin"/>
        </c:scaling>
        <c:axPos val="l"/>
        <c:delete val="0"/>
        <c:numFmt formatCode="General" sourceLinked="1"/>
        <c:majorTickMark val="out"/>
        <c:minorTickMark val="none"/>
        <c:tickLblPos val="none"/>
        <c:spPr>
          <a:ln w="3175">
            <a:noFill/>
          </a:ln>
        </c:spPr>
        <c:crossAx val="60472362"/>
        <c:crosses val="autoZero"/>
        <c:auto val="1"/>
        <c:lblOffset val="100"/>
        <c:tickLblSkip val="1"/>
        <c:noMultiLvlLbl val="0"/>
      </c:catAx>
      <c:valAx>
        <c:axId val="60472362"/>
        <c:scaling>
          <c:orientation val="minMax"/>
          <c:max val="1"/>
          <c:min val="0"/>
        </c:scaling>
        <c:axPos val="t"/>
        <c:delete val="0"/>
        <c:numFmt formatCode="General" sourceLinked="1"/>
        <c:majorTickMark val="none"/>
        <c:minorTickMark val="none"/>
        <c:tickLblPos val="none"/>
        <c:spPr>
          <a:ln w="3175">
            <a:noFill/>
          </a:ln>
        </c:spPr>
        <c:crossAx val="20138381"/>
        <c:crossesAt val="1"/>
        <c:crossBetween val="between"/>
        <c:dispUnits/>
        <c:majorUnit val="1"/>
      </c:valAx>
      <c:valAx>
        <c:axId val="47943203"/>
        <c:scaling>
          <c:orientation val="minMax"/>
          <c:max val="1"/>
          <c:min val="0"/>
        </c:scaling>
        <c:axPos val="t"/>
        <c:delete val="0"/>
        <c:numFmt formatCode="General" sourceLinked="1"/>
        <c:majorTickMark val="none"/>
        <c:minorTickMark val="none"/>
        <c:tickLblPos val="none"/>
        <c:spPr>
          <a:ln w="3175">
            <a:noFill/>
          </a:ln>
        </c:spPr>
        <c:crossAx val="19281864"/>
        <c:crosses val="max"/>
        <c:crossBetween val="midCat"/>
        <c:dispUnits/>
        <c:majorUnit val="0.1"/>
        <c:minorUnit val="0.020000000000000004"/>
      </c:valAx>
      <c:valAx>
        <c:axId val="19281864"/>
        <c:scaling>
          <c:orientation val="maxMin"/>
          <c:max val="29"/>
          <c:min val="0"/>
        </c:scaling>
        <c:axPos val="l"/>
        <c:delete val="0"/>
        <c:numFmt formatCode="General" sourceLinked="1"/>
        <c:majorTickMark val="none"/>
        <c:minorTickMark val="none"/>
        <c:tickLblPos val="none"/>
        <c:spPr>
          <a:ln w="3175">
            <a:noFill/>
          </a:ln>
        </c:spPr>
        <c:crossAx val="4794320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(E81632) BARTON HILLS MEDICAL GROUP, LUTON PCT (5GC)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465</v>
      </c>
      <c r="Q3" s="65"/>
      <c r="R3" s="66"/>
      <c r="S3" s="66"/>
      <c r="T3" s="66"/>
      <c r="U3" s="66"/>
      <c r="V3" s="66"/>
      <c r="W3" s="66"/>
      <c r="X3" s="66"/>
      <c r="Y3" s="66"/>
      <c r="Z3" s="66"/>
      <c r="AA3" s="66"/>
      <c r="AB3" s="66"/>
      <c r="AC3" s="66"/>
    </row>
    <row r="4" spans="2:29" ht="18" customHeight="1">
      <c r="B4" s="319" t="s">
        <v>533</v>
      </c>
      <c r="C4" s="320"/>
      <c r="D4" s="320"/>
      <c r="E4" s="320"/>
      <c r="F4" s="320"/>
      <c r="G4" s="321"/>
      <c r="H4" s="112"/>
      <c r="I4" s="112"/>
      <c r="J4" s="112"/>
      <c r="K4" s="112"/>
      <c r="L4" s="113"/>
      <c r="M4" s="65"/>
      <c r="N4" s="65"/>
      <c r="O4" s="65"/>
      <c r="P4" s="134" t="s">
        <v>466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532</v>
      </c>
      <c r="C8" s="115"/>
      <c r="D8" s="115"/>
      <c r="E8" s="128">
        <f>VLOOKUP('Hide - Control'!A$3,'All practice data'!A:CA,4,FALSE)</f>
        <v>6361</v>
      </c>
      <c r="F8" s="310" t="str">
        <f>VLOOKUP('Hide - Control'!B4,'Hide - Calculation'!AY:BA,3,FALSE)</f>
        <v>Please note: Bowel screening indicators are based on less than 30 but over 12 months of data.</v>
      </c>
      <c r="G8" s="310"/>
      <c r="H8" s="310"/>
      <c r="I8" s="115"/>
      <c r="J8" s="115"/>
      <c r="K8" s="115"/>
      <c r="L8" s="115"/>
      <c r="M8" s="109"/>
      <c r="N8" s="314" t="s">
        <v>475</v>
      </c>
      <c r="O8" s="314"/>
      <c r="P8" s="314"/>
      <c r="Q8" s="314" t="s">
        <v>32</v>
      </c>
      <c r="R8" s="314"/>
      <c r="S8" s="314"/>
      <c r="T8" s="314" t="s">
        <v>536</v>
      </c>
      <c r="U8" s="314"/>
      <c r="V8" s="314" t="s">
        <v>33</v>
      </c>
      <c r="W8" s="314"/>
      <c r="X8" s="314"/>
      <c r="Y8" s="135"/>
      <c r="Z8" s="314" t="s">
        <v>468</v>
      </c>
      <c r="AA8" s="314"/>
      <c r="AB8" s="161"/>
      <c r="AC8" s="109"/>
    </row>
    <row r="9" spans="2:29" s="61" customFormat="1" ht="19.5" customHeight="1" thickBot="1">
      <c r="B9" s="114" t="s">
        <v>460</v>
      </c>
      <c r="C9" s="114"/>
      <c r="D9" s="114"/>
      <c r="E9" s="129">
        <f>VLOOKUP('Hide - Control'!B4,'Hide - Calculation'!AY:BB,4,FALSE)</f>
        <v>208442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438</v>
      </c>
      <c r="E11" s="317"/>
      <c r="F11" s="318"/>
      <c r="G11" s="263" t="s">
        <v>436</v>
      </c>
      <c r="H11" s="255" t="s">
        <v>437</v>
      </c>
      <c r="I11" s="255" t="s">
        <v>448</v>
      </c>
      <c r="J11" s="255" t="s">
        <v>449</v>
      </c>
      <c r="K11" s="255" t="s">
        <v>321</v>
      </c>
      <c r="L11" s="256" t="s">
        <v>362</v>
      </c>
      <c r="M11" s="257" t="s">
        <v>458</v>
      </c>
      <c r="N11" s="334" t="s">
        <v>456</v>
      </c>
      <c r="O11" s="334"/>
      <c r="P11" s="334"/>
      <c r="Q11" s="334"/>
      <c r="R11" s="334"/>
      <c r="S11" s="334"/>
      <c r="T11" s="334"/>
      <c r="U11" s="334"/>
      <c r="V11" s="334"/>
      <c r="W11" s="334"/>
      <c r="X11" s="334"/>
      <c r="Y11" s="334"/>
      <c r="Z11" s="334"/>
      <c r="AA11" s="258" t="s">
        <v>459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964</v>
      </c>
      <c r="H13" s="190">
        <f>IF(VLOOKUP('Hide - Control'!A$3,'All practice data'!A:CA,C13+30,FALSE)=" "," ",VLOOKUP('Hide - Control'!A$3,'All practice data'!A:CA,C13+30,FALSE))</f>
        <v>0.15154849866373213</v>
      </c>
      <c r="I13" s="191">
        <f>IF(LEFT(G13,1)=" "," n/a",+((2*G13+1.96^2-1.96*SQRT(1.96^2+4*G13*(1-G13/E$8)))/(2*(E$8+1.96^2))))</f>
        <v>0.14294679500308002</v>
      </c>
      <c r="J13" s="191">
        <f>IF(LEFT(G13,1)=" "," n/a",+((2*G13+1.96^2+1.96*SQRT(1.96^2+4*G13*(1-G13/E$8)))/(2*(E$8+1.96^2))))</f>
        <v>0.16057082906473655</v>
      </c>
      <c r="K13" s="190">
        <f>IF('Hide - Calculation'!N7="","",'Hide - Calculation'!N7)</f>
        <v>0.1147417507028334</v>
      </c>
      <c r="L13" s="192">
        <f>'Hide - Calculation'!O7</f>
        <v>0.1599882305185145</v>
      </c>
      <c r="M13" s="208">
        <f>IF(ISBLANK('Hide - Calculation'!K7),"",'Hide - Calculation'!U7)</f>
        <v>0.014975042082369328</v>
      </c>
      <c r="N13" s="173"/>
      <c r="O13" s="173"/>
      <c r="P13" s="173"/>
      <c r="Q13" s="173"/>
      <c r="R13" s="173"/>
      <c r="S13" s="173"/>
      <c r="T13" s="173"/>
      <c r="U13" s="173"/>
      <c r="V13" s="173"/>
      <c r="W13" s="173"/>
      <c r="X13" s="173"/>
      <c r="Y13" s="173"/>
      <c r="Z13" s="173"/>
      <c r="AA13" s="226">
        <f>IF(ISBLANK('Hide - Calculation'!K7),"",'Hide - Calculation'!T7)</f>
        <v>0.21407625079154968</v>
      </c>
      <c r="AB13" s="233" t="s">
        <v>530</v>
      </c>
      <c r="AC13" s="209" t="s">
        <v>531</v>
      </c>
    </row>
    <row r="14" spans="2:29" ht="33.75" customHeight="1">
      <c r="B14" s="306"/>
      <c r="C14" s="137">
        <v>2</v>
      </c>
      <c r="D14" s="132" t="s">
        <v>469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0.10254484514947951</v>
      </c>
      <c r="J14" s="120">
        <f>IF(LEFT(G14,1)=" "," n/a",+((2*H14*E8+1.96^2+1.96*SQRT(1.96^2+4*H14*E8*(1-H14*E8/E$8)))/(2*(E$8+1.96^2))))</f>
        <v>0.11792593608724444</v>
      </c>
      <c r="K14" s="119">
        <f>IF('Hide - Calculation'!N8="","",'Hide - Calculation'!N8)</f>
        <v>0.1993224494103875</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0.30000001192092896</v>
      </c>
      <c r="AB14" s="234" t="s">
        <v>39</v>
      </c>
      <c r="AC14" s="130" t="s">
        <v>531</v>
      </c>
    </row>
    <row r="15" spans="2:39" s="63" customFormat="1" ht="33.75" customHeight="1">
      <c r="B15" s="306"/>
      <c r="C15" s="137">
        <v>3</v>
      </c>
      <c r="D15" s="132" t="s">
        <v>324</v>
      </c>
      <c r="E15" s="85"/>
      <c r="F15" s="85"/>
      <c r="G15" s="121">
        <f>IF(VLOOKUP('Hide - Control'!A$3,'All practice data'!A:CA,C15+4,FALSE)=" "," ",VLOOKUP('Hide - Control'!A$3,'All practice data'!A:CA,C15+4,FALSE))</f>
        <v>23</v>
      </c>
      <c r="H15" s="122">
        <f>IF(VLOOKUP('Hide - Control'!A$3,'All practice data'!A:CA,C15+30,FALSE)=" "," ",VLOOKUP('Hide - Control'!A$3,'All practice data'!A:CA,C15+30,FALSE))</f>
        <v>361.5783681811036</v>
      </c>
      <c r="I15" s="123">
        <f>IF(LEFT(G15,1)=" "," n/a",IF(G15&lt;5,100000*VLOOKUP(G15,'Hide - Calculation'!AQ:AR,2,FALSE)/$E$8,100000*(G15*(1-1/(9*G15)-1.96/(3*SQRT(G15)))^3)/$E$8))</f>
        <v>229.1344638630733</v>
      </c>
      <c r="J15" s="123">
        <f>IF(LEFT(G15,1)=" "," n/a",IF(G15&lt;5,100000*VLOOKUP(G15,'Hide - Calculation'!AQ:AS,3,FALSE)/$E$8,100000*((G15+1)*(1-1/(9*(G15+1))+1.96/(3*SQRT(G15+1)))^3)/$E$8))</f>
        <v>542.5724740115799</v>
      </c>
      <c r="K15" s="122">
        <f>IF('Hide - Calculation'!N9="","",'Hide - Calculation'!N9)</f>
        <v>323.35133994108674</v>
      </c>
      <c r="L15" s="156">
        <f>'Hide - Calculation'!O9</f>
        <v>445.6198871279627</v>
      </c>
      <c r="M15" s="151">
        <f>IF(ISBLANK('Hide - Calculation'!K9),"",'Hide - Calculation'!U9)</f>
        <v>88.3726806640625</v>
      </c>
      <c r="N15" s="84"/>
      <c r="O15" s="84"/>
      <c r="P15" s="84"/>
      <c r="Q15" s="84"/>
      <c r="R15" s="84"/>
      <c r="S15" s="84"/>
      <c r="T15" s="84"/>
      <c r="U15" s="84"/>
      <c r="V15" s="84"/>
      <c r="W15" s="84"/>
      <c r="X15" s="84"/>
      <c r="Y15" s="84"/>
      <c r="Z15" s="84"/>
      <c r="AA15" s="228">
        <f>IF(ISBLANK('Hide - Calculation'!K9),"",'Hide - Calculation'!T9)</f>
        <v>676.7426147460938</v>
      </c>
      <c r="AB15" s="234" t="s">
        <v>439</v>
      </c>
      <c r="AC15" s="131">
        <v>2009</v>
      </c>
      <c r="AD15" s="64"/>
      <c r="AE15" s="64"/>
      <c r="AF15" s="64"/>
      <c r="AG15" s="64"/>
      <c r="AH15" s="64"/>
      <c r="AI15" s="64"/>
      <c r="AJ15" s="64"/>
      <c r="AK15" s="64"/>
      <c r="AL15" s="64"/>
      <c r="AM15" s="64"/>
    </row>
    <row r="16" spans="2:29" s="63" customFormat="1" ht="33.75" customHeight="1">
      <c r="B16" s="306"/>
      <c r="C16" s="137">
        <v>4</v>
      </c>
      <c r="D16" s="132" t="s">
        <v>461</v>
      </c>
      <c r="E16" s="85"/>
      <c r="F16" s="85"/>
      <c r="G16" s="121">
        <f>IF(VLOOKUP('Hide - Control'!A$3,'All practice data'!A:CA,C16+4,FALSE)=" "," ",VLOOKUP('Hide - Control'!A$3,'All practice data'!A:CA,C16+4,FALSE))</f>
        <v>16</v>
      </c>
      <c r="H16" s="122">
        <f>IF(VLOOKUP('Hide - Control'!A$3,'All practice data'!A:CA,C16+30,FALSE)=" "," ",VLOOKUP('Hide - Control'!A$3,'All practice data'!A:CA,C16+30,FALSE))</f>
        <v>251.53277786511555</v>
      </c>
      <c r="I16" s="123">
        <f>IF(LEFT(G16,1)=" "," n/a",IF(G16&lt;5,100000*VLOOKUP(G16,'Hide - Calculation'!AQ:AR,2,FALSE)/$E$8,100000*(G16*(1-1/(9*G16)-1.96/(3*SQRT(G16)))^3)/$E$8))</f>
        <v>143.6788200031097</v>
      </c>
      <c r="J16" s="123">
        <f>IF(LEFT(G16,1)=" "," n/a",IF(G16&lt;5,100000*VLOOKUP(G16,'Hide - Calculation'!AQ:AS,3,FALSE)/$E$8,100000*((G16+1)*(1-1/(9*(G16+1))+1.96/(3*SQRT(G16+1)))^3)/$E$8))</f>
        <v>408.499217661561</v>
      </c>
      <c r="K16" s="122">
        <f>IF('Hide - Calculation'!N10="","",'Hide - Calculation'!N10)</f>
        <v>167.91241688335364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332.9338073730469</v>
      </c>
      <c r="AB16" s="234" t="s">
        <v>318</v>
      </c>
      <c r="AC16" s="131" t="s">
        <v>496</v>
      </c>
    </row>
    <row r="17" spans="2:29" s="63" customFormat="1" ht="33.75" customHeight="1" thickBot="1">
      <c r="B17" s="309"/>
      <c r="C17" s="180">
        <v>5</v>
      </c>
      <c r="D17" s="195" t="s">
        <v>323</v>
      </c>
      <c r="E17" s="182"/>
      <c r="F17" s="182"/>
      <c r="G17" s="140">
        <f>IF(VLOOKUP('Hide - Control'!A$3,'All practice data'!A:CA,C17+4,FALSE)=" "," ",VLOOKUP('Hide - Control'!A$3,'All practice data'!A:CA,C17+4,FALSE))</f>
        <v>88</v>
      </c>
      <c r="H17" s="141">
        <f>IF(VLOOKUP('Hide - Control'!A$3,'All practice data'!A:CA,C17+30,FALSE)=" "," ",VLOOKUP('Hide - Control'!A$3,'All practice data'!A:CA,C17+30,FALSE))</f>
        <v>0.013999999999999999</v>
      </c>
      <c r="I17" s="142">
        <f>IF(LEFT(G17,1)=" "," n/a",+((2*G17+1.96^2-1.96*SQRT(1.96^2+4*G17*(1-G17/E$8)))/(2*(E$8+1.96^2))))</f>
        <v>0.011243208341490613</v>
      </c>
      <c r="J17" s="142">
        <f>IF(LEFT(G17,1)=" "," n/a",+((2*G17+1.96^2+1.96*SQRT(1.96^2+4*G17*(1-G17/E$8)))/(2*(E$8+1.96^2))))</f>
        <v>0.017012263090822804</v>
      </c>
      <c r="K17" s="141">
        <f>IF('Hide - Calculation'!N11="","",'Hide - Calculation'!N11)</f>
        <v>0.010664837220905575</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0.02199999988079071</v>
      </c>
      <c r="AB17" s="235" t="s">
        <v>462</v>
      </c>
      <c r="AC17" s="189" t="s">
        <v>496</v>
      </c>
    </row>
    <row r="18" spans="2:29" s="63" customFormat="1" ht="33.75" customHeight="1">
      <c r="B18" s="308" t="s">
        <v>13</v>
      </c>
      <c r="C18" s="163">
        <v>6</v>
      </c>
      <c r="D18" s="164" t="s">
        <v>470</v>
      </c>
      <c r="E18" s="165"/>
      <c r="F18" s="165"/>
      <c r="G18" s="219">
        <f>IF(OR(VLOOKUP('Hide - Control'!A$3,'All practice data'!A:CA,C18+4,FALSE)=" ",VLOOKUP('Hide - Control'!A$3,'All practice data'!A:CA,C18+52,FALSE)=0)," n/a",VLOOKUP('Hide - Control'!A$3,'All practice data'!A:CA,C18+4,FALSE))</f>
        <v>648</v>
      </c>
      <c r="H18" s="220">
        <f>IF(OR(VLOOKUP('Hide - Control'!A$3,'All practice data'!A:CA,C18+30,FALSE)=" ",VLOOKUP('Hide - Control'!A$3,'All practice data'!A:CA,C18+52,FALSE)=0)," n/a",VLOOKUP('Hide - Control'!A$3,'All practice data'!A:CA,C18+30,FALSE))</f>
        <v>0.820253</v>
      </c>
      <c r="I18" s="191">
        <f>IF(OR(LEFT(H18,1)=" ",VLOOKUP('Hide - Control'!A$3,'All practice data'!A:CA,C18+52,FALSE)=0)," n/a",+((2*G18+1.96^2-1.96*SQRT(1.96^2+4*G18*(1-G18/(VLOOKUP('Hide - Control'!A$3,'All practice data'!A:CA,C18+52,FALSE)))))/(2*(((VLOOKUP('Hide - Control'!A$3,'All practice data'!A:CA,C18+52,FALSE)))+1.96^2))))</f>
        <v>0.7919472368149523</v>
      </c>
      <c r="J18" s="191">
        <f>IF(OR(LEFT(H18,1)=" ",VLOOKUP('Hide - Control'!A$3,'All practice data'!A:CA,C18+52,FALSE)=0)," n/a",+((2*G18+1.96^2+1.96*SQRT(1.96^2+4*G18*(1-G18/(VLOOKUP('Hide - Control'!A$3,'All practice data'!A:CA,C18+52,FALSE)))))/(2*((VLOOKUP('Hide - Control'!A$3,'All practice data'!A:CA,C18+52,FALSE))+1.96^2))))</f>
        <v>0.8454595204021047</v>
      </c>
      <c r="K18" s="220">
        <f>IF('Hide - Calculation'!N12="","",'Hide - Calculation'!N12)</f>
        <v>0.7109967497291441</v>
      </c>
      <c r="L18" s="192">
        <f>'Hide - Calculation'!O12</f>
        <v>0.7248631360507991</v>
      </c>
      <c r="M18" s="193">
        <f>IF(ISBLANK('Hide - Calculation'!K12),"",'Hide - Calculation'!U12)</f>
        <v>0.32653099298477173</v>
      </c>
      <c r="N18" s="194"/>
      <c r="O18" s="173"/>
      <c r="P18" s="173"/>
      <c r="Q18" s="173"/>
      <c r="R18" s="173"/>
      <c r="S18" s="173"/>
      <c r="T18" s="173"/>
      <c r="U18" s="173"/>
      <c r="V18" s="173"/>
      <c r="W18" s="173"/>
      <c r="X18" s="173"/>
      <c r="Y18" s="173"/>
      <c r="Z18" s="174"/>
      <c r="AA18" s="193">
        <f>IF(ISBLANK('Hide - Calculation'!K12),"",'Hide - Calculation'!T12)</f>
        <v>0.8202530145645142</v>
      </c>
      <c r="AB18" s="233" t="s">
        <v>48</v>
      </c>
      <c r="AC18" s="175" t="s">
        <v>497</v>
      </c>
    </row>
    <row r="19" spans="2:29" s="63" customFormat="1" ht="33.75" customHeight="1">
      <c r="B19" s="306"/>
      <c r="C19" s="137">
        <v>7</v>
      </c>
      <c r="D19" s="132" t="s">
        <v>471</v>
      </c>
      <c r="E19" s="85"/>
      <c r="F19" s="85"/>
      <c r="G19" s="221">
        <f>IF(OR(VLOOKUP('Hide - Control'!A$3,'All practice data'!A:CA,C19+4,FALSE)=" ",VLOOKUP('Hide - Control'!A$3,'All practice data'!A:CA,C19+52,FALSE)=0)," n/a",VLOOKUP('Hide - Control'!A$3,'All practice data'!A:CA,C19+4,FALSE))</f>
        <v>601</v>
      </c>
      <c r="H19" s="218">
        <f>IF(OR(VLOOKUP('Hide - Control'!A$3,'All practice data'!A:CA,C19+30,FALSE)=" ",VLOOKUP('Hide - Control'!A$3,'All practice data'!A:CA,C19+52,FALSE)=0)," n/a",VLOOKUP('Hide - Control'!A$3,'All practice data'!A:CA,C19+30,FALSE))</f>
        <v>0.78768</v>
      </c>
      <c r="I19" s="120">
        <f>IF(OR(LEFT(H19,1)=" ",VLOOKUP('Hide - Control'!A$3,'All practice data'!A:CA,C19+52,FALSE)=0)," n/a",+((2*G19+1.96^2-1.96*SQRT(1.96^2+4*G19*(1-G19/(VLOOKUP('Hide - Control'!A$3,'All practice data'!A:CA,C19+52,FALSE)))))/(2*(((VLOOKUP('Hide - Control'!A$3,'All practice data'!A:CA,C19+52,FALSE)))+1.96^2))))</f>
        <v>0.7572581869513768</v>
      </c>
      <c r="J19" s="120">
        <f>IF(OR(LEFT(H19,1)=" ",VLOOKUP('Hide - Control'!A$3,'All practice data'!A:CA,C19+52,FALSE)=0)," n/a",+((2*G19+1.96^2+1.96*SQRT(1.96^2+4*G19*(1-G19/(VLOOKUP('Hide - Control'!A$3,'All practice data'!A:CA,C19+52,FALSE)))))/(2*((VLOOKUP('Hide - Control'!A$3,'All practice data'!A:CA,C19+52,FALSE))+1.96^2))))</f>
        <v>0.8152198841391849</v>
      </c>
      <c r="K19" s="218">
        <f>IF('Hide - Calculation'!N13="","",'Hide - Calculation'!N13)</f>
        <v>0.7252159605100782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0.800000011920929</v>
      </c>
      <c r="AB19" s="234" t="s">
        <v>48</v>
      </c>
      <c r="AC19" s="131" t="s">
        <v>496</v>
      </c>
    </row>
    <row r="20" spans="2:29" s="63" customFormat="1" ht="33.75" customHeight="1">
      <c r="B20" s="306"/>
      <c r="C20" s="137">
        <v>8</v>
      </c>
      <c r="D20" s="132" t="s">
        <v>472</v>
      </c>
      <c r="E20" s="85"/>
      <c r="F20" s="85"/>
      <c r="G20" s="221">
        <f>IF(OR(VLOOKUP('Hide - Control'!A$3,'All practice data'!A:CA,C20+4,FALSE)=" ",VLOOKUP('Hide - Control'!A$3,'All practice data'!A:CA,C20+52,FALSE)=0)," n/a",VLOOKUP('Hide - Control'!A$3,'All practice data'!A:CA,C20+4,FALSE))</f>
        <v>1240</v>
      </c>
      <c r="H20" s="218">
        <f>IF(OR(VLOOKUP('Hide - Control'!A$3,'All practice data'!A:CA,C20+30,FALSE)=" ",VLOOKUP('Hide - Control'!A$3,'All practice data'!A:CA,C20+52,FALSE)=0)," n/a",VLOOKUP('Hide - Control'!A$3,'All practice data'!A:CA,C20+30,FALSE))</f>
        <v>0.747438</v>
      </c>
      <c r="I20" s="120">
        <f>IF(OR(LEFT(H20,1)=" ",VLOOKUP('Hide - Control'!A$3,'All practice data'!A:CA,C20+52,FALSE)=0)," n/a",+((2*G20+1.96^2-1.96*SQRT(1.96^2+4*G20*(1-G20/(VLOOKUP('Hide - Control'!A$3,'All practice data'!A:CA,C20+52,FALSE)))))/(2*(((VLOOKUP('Hide - Control'!A$3,'All practice data'!A:CA,C20+52,FALSE)))+1.96^2))))</f>
        <v>0.7259753033133672</v>
      </c>
      <c r="J20" s="120">
        <f>IF(OR(LEFT(H20,1)=" ",VLOOKUP('Hide - Control'!A$3,'All practice data'!A:CA,C20+52,FALSE)=0)," n/a",+((2*G20+1.96^2+1.96*SQRT(1.96^2+4*G20*(1-G20/(VLOOKUP('Hide - Control'!A$3,'All practice data'!A:CA,C20+52,FALSE)))))/(2*((VLOOKUP('Hide - Control'!A$3,'All practice data'!A:CA,C20+52,FALSE))+1.96^2))))</f>
        <v>0.7677578339860607</v>
      </c>
      <c r="K20" s="218">
        <f>IF('Hide - Calculation'!N14="","",'Hide - Calculation'!N14)</f>
        <v>0.732525332803497</v>
      </c>
      <c r="L20" s="155">
        <f>'Hide - Calculation'!O14</f>
        <v>0.7559681673907895</v>
      </c>
      <c r="M20" s="152">
        <f>IF(ISBLANK('Hide - Calculation'!K14),"",'Hide - Calculation'!U14)</f>
        <v>0.5543069839477539</v>
      </c>
      <c r="N20" s="160"/>
      <c r="O20" s="84"/>
      <c r="P20" s="84"/>
      <c r="Q20" s="84"/>
      <c r="R20" s="84"/>
      <c r="S20" s="84"/>
      <c r="T20" s="84"/>
      <c r="U20" s="84"/>
      <c r="V20" s="84"/>
      <c r="W20" s="84"/>
      <c r="X20" s="84"/>
      <c r="Y20" s="84"/>
      <c r="Z20" s="88"/>
      <c r="AA20" s="152">
        <f>IF(ISBLANK('Hide - Calculation'!K14),"",'Hide - Calculation'!T14)</f>
        <v>0.8796060085296631</v>
      </c>
      <c r="AB20" s="234" t="s">
        <v>48</v>
      </c>
      <c r="AC20" s="131" t="s">
        <v>498</v>
      </c>
    </row>
    <row r="21" spans="2:29" s="63" customFormat="1" ht="33.75" customHeight="1">
      <c r="B21" s="306"/>
      <c r="C21" s="137">
        <v>9</v>
      </c>
      <c r="D21" s="132" t="s">
        <v>473</v>
      </c>
      <c r="E21" s="85"/>
      <c r="F21" s="85"/>
      <c r="G21" s="221">
        <f>IF(OR(VLOOKUP('Hide - Control'!A$3,'All practice data'!A:CA,C21+4,FALSE)=" ",VLOOKUP('Hide - Control'!A$3,'All practice data'!A:CA,C21+52,FALSE)=0)," n/a",VLOOKUP('Hide - Control'!A$3,'All practice data'!A:CA,C21+4,FALSE))</f>
        <v>340</v>
      </c>
      <c r="H21" s="218">
        <f>IF(OR(VLOOKUP('Hide - Control'!A$3,'All practice data'!A:CA,C21+30,FALSE)=" ",VLOOKUP('Hide - Control'!A$3,'All practice data'!A:CA,C21+52,FALSE)=0)," n/a",VLOOKUP('Hide - Control'!A$3,'All practice data'!A:CA,C21+30,FALSE))</f>
        <v>0.508221</v>
      </c>
      <c r="I21" s="120">
        <f>IF(OR(LEFT(H21,1)=" ",VLOOKUP('Hide - Control'!A$3,'All practice data'!A:CA,C21+52,FALSE)=0)," n/a",+((2*G21+1.96^2-1.96*SQRT(1.96^2+4*G21*(1-G21/(VLOOKUP('Hide - Control'!A$3,'All practice data'!A:CA,C21+52,FALSE)))))/(2*(((VLOOKUP('Hide - Control'!A$3,'All practice data'!A:CA,C21+52,FALSE)))+1.96^2))))</f>
        <v>0.4703986945054016</v>
      </c>
      <c r="J21" s="120">
        <f>IF(OR(LEFT(H21,1)=" ",VLOOKUP('Hide - Control'!A$3,'All practice data'!A:CA,C21+52,FALSE)=0)," n/a",+((2*G21+1.96^2+1.96*SQRT(1.96^2+4*G21*(1-G21/(VLOOKUP('Hide - Control'!A$3,'All practice data'!A:CA,C21+52,FALSE)))))/(2*((VLOOKUP('Hide - Control'!A$3,'All practice data'!A:CA,C21+52,FALSE))+1.96^2))))</f>
        <v>0.5459498784722502</v>
      </c>
      <c r="K21" s="218">
        <f>IF('Hide - Calculation'!N15="","",'Hide - Calculation'!N15)</f>
        <v>0.4679894689526745</v>
      </c>
      <c r="L21" s="155">
        <f>'Hide - Calculation'!O15</f>
        <v>0.5147293797466616</v>
      </c>
      <c r="M21" s="152">
        <f>IF(ISBLANK('Hide - Calculation'!K15),"",'Hide - Calculation'!U15)</f>
        <v>0.12727299332618713</v>
      </c>
      <c r="N21" s="160"/>
      <c r="O21" s="84"/>
      <c r="P21" s="84"/>
      <c r="Q21" s="84"/>
      <c r="R21" s="84"/>
      <c r="S21" s="84"/>
      <c r="T21" s="84"/>
      <c r="U21" s="84"/>
      <c r="V21" s="84"/>
      <c r="W21" s="84"/>
      <c r="X21" s="84"/>
      <c r="Y21" s="84"/>
      <c r="Z21" s="88"/>
      <c r="AA21" s="152">
        <f>IF(ISBLANK('Hide - Calculation'!K15),"",'Hide - Calculation'!T15)</f>
        <v>0.584721028804779</v>
      </c>
      <c r="AB21" s="234" t="s">
        <v>48</v>
      </c>
      <c r="AC21" s="131" t="s">
        <v>497</v>
      </c>
    </row>
    <row r="22" spans="2:29" s="63" customFormat="1" ht="33.75" customHeight="1" thickBot="1">
      <c r="B22" s="309"/>
      <c r="C22" s="180">
        <v>10</v>
      </c>
      <c r="D22" s="195" t="s">
        <v>474</v>
      </c>
      <c r="E22" s="182"/>
      <c r="F22" s="182"/>
      <c r="G22" s="222">
        <f>IF(OR(VLOOKUP('Hide - Control'!A$3,'All practice data'!A:CA,C22+4,FALSE)=" ",VLOOKUP('Hide - Control'!A$3,'All practice data'!A:CA,C22+52,FALSE)=0)," n/a",VLOOKUP('Hide - Control'!A$3,'All practice data'!A:CA,C22+4,FALSE))</f>
        <v>167</v>
      </c>
      <c r="H22" s="223">
        <f>IF(OR(VLOOKUP('Hide - Control'!A$3,'All practice data'!A:CA,C22+30,FALSE)=" ",VLOOKUP('Hide - Control'!A$3,'All practice data'!A:CA,C22+52,FALSE)=0)," n/a",VLOOKUP('Hide - Control'!A$3,'All practice data'!A:CA,C22+30,FALSE))</f>
        <v>0.509146</v>
      </c>
      <c r="I22" s="196">
        <f>IF(OR(LEFT(H22,1)=" ",VLOOKUP('Hide - Control'!A$3,'All practice data'!A:CA,C22+52,FALSE)=0)," n/a",+((2*G22+1.96^2-1.96*SQRT(1.96^2+4*G22*(1-G22/(VLOOKUP('Hide - Control'!A$3,'All practice data'!A:CA,C22+52,FALSE)))))/(2*(((VLOOKUP('Hide - Control'!A$3,'All practice data'!A:CA,C22+52,FALSE)))+1.96^2))))</f>
        <v>0.45525203277929616</v>
      </c>
      <c r="J22" s="196">
        <f>IF(OR(LEFT(H22,1)=" ",VLOOKUP('Hide - Control'!A$3,'All practice data'!A:CA,C22+52,FALSE)=0)," n/a",+((2*G22+1.96^2+1.96*SQRT(1.96^2+4*G22*(1-G22/(VLOOKUP('Hide - Control'!A$3,'All practice data'!A:CA,C22+52,FALSE)))))/(2*((VLOOKUP('Hide - Control'!A$3,'All practice data'!A:CA,C22+52,FALSE))+1.96^2))))</f>
        <v>0.5628288829347071</v>
      </c>
      <c r="K22" s="223">
        <f>IF('Hide - Calculation'!N16="","",'Hide - Calculation'!N16)</f>
        <v>0.5005895453949954</v>
      </c>
      <c r="L22" s="197">
        <f>'Hide - Calculation'!O16</f>
        <v>0.5752927626212945</v>
      </c>
      <c r="M22" s="198">
        <f>IF(ISBLANK('Hide - Calculation'!K16),"",'Hide - Calculation'!U16)</f>
        <v>0.25773200392723083</v>
      </c>
      <c r="N22" s="199"/>
      <c r="O22" s="91"/>
      <c r="P22" s="91"/>
      <c r="Q22" s="91"/>
      <c r="R22" s="91"/>
      <c r="S22" s="91"/>
      <c r="T22" s="91"/>
      <c r="U22" s="91"/>
      <c r="V22" s="91"/>
      <c r="W22" s="91"/>
      <c r="X22" s="91"/>
      <c r="Y22" s="91"/>
      <c r="Z22" s="188"/>
      <c r="AA22" s="198">
        <f>IF(ISBLANK('Hide - Calculation'!K16),"",'Hide - Calculation'!T16)</f>
        <v>0.6126480102539062</v>
      </c>
      <c r="AB22" s="235" t="s">
        <v>48</v>
      </c>
      <c r="AC22" s="189" t="s">
        <v>496</v>
      </c>
    </row>
    <row r="23" spans="2:29" s="63" customFormat="1" ht="33.75" customHeight="1">
      <c r="B23" s="308" t="s">
        <v>313</v>
      </c>
      <c r="C23" s="163">
        <v>11</v>
      </c>
      <c r="D23" s="179" t="s">
        <v>325</v>
      </c>
      <c r="E23" s="165"/>
      <c r="F23" s="165"/>
      <c r="G23" s="118">
        <f>IF(VLOOKUP('Hide - Control'!A$3,'All practice data'!A:CA,C23+4,FALSE)=" "," ",VLOOKUP('Hide - Control'!A$3,'All practice data'!A:CA,C23+4,FALSE))</f>
        <v>96</v>
      </c>
      <c r="H23" s="216">
        <f>IF(VLOOKUP('Hide - Control'!A$3,'All practice data'!A:CA,C23+30,FALSE)=" "," ",VLOOKUP('Hide - Control'!A$3,'All practice data'!A:CA,C23+30,FALSE))</f>
        <v>1509.1966671906932</v>
      </c>
      <c r="I23" s="215">
        <f>IF(LEFT(G23,1)=" "," n/a",IF(G23&lt;5,100000*VLOOKUP(G23,'Hide - Calculation'!AQ:AR,2,FALSE)/$E$8,100000*(G23*(1-1/(9*G23)-1.96/(3*SQRT(G23)))^3)/$E$8))</f>
        <v>1222.4189549533571</v>
      </c>
      <c r="J23" s="215">
        <f>IF(LEFT(G23,1)=" "," n/a",IF(G23&lt;5,100000*VLOOKUP(G23,'Hide - Calculation'!AQ:AS,3,FALSE)/$E$8,100000*((G23+1)*(1-1/(9*(G23+1))+1.96/(3*SQRT(G23+1)))^3)/$E$8))</f>
        <v>1843.0119893944013</v>
      </c>
      <c r="K23" s="216">
        <f>IF('Hide - Calculation'!N17="","",'Hide - Calculation'!N17)</f>
        <v>994.5212577119775</v>
      </c>
      <c r="L23" s="217">
        <f>'Hide - Calculation'!O17</f>
        <v>1812.1669120472948</v>
      </c>
      <c r="M23" s="170">
        <f>IF(ISBLANK('Hide - Calculation'!K17),"",'Hide - Calculation'!U17)</f>
        <v>244.498779296875</v>
      </c>
      <c r="N23" s="171"/>
      <c r="O23" s="172"/>
      <c r="P23" s="172"/>
      <c r="Q23" s="172"/>
      <c r="R23" s="173"/>
      <c r="S23" s="173"/>
      <c r="T23" s="173"/>
      <c r="U23" s="173"/>
      <c r="V23" s="173"/>
      <c r="W23" s="173"/>
      <c r="X23" s="173"/>
      <c r="Y23" s="173"/>
      <c r="Z23" s="174"/>
      <c r="AA23" s="170">
        <f>IF(ISBLANK('Hide - Calculation'!K17),"",'Hide - Calculation'!T17)</f>
        <v>1736.9222412109375</v>
      </c>
      <c r="AB23" s="233" t="s">
        <v>26</v>
      </c>
      <c r="AC23" s="175" t="s">
        <v>496</v>
      </c>
    </row>
    <row r="24" spans="2:29" s="63" customFormat="1" ht="33.75" customHeight="1">
      <c r="B24" s="306"/>
      <c r="C24" s="137">
        <v>12</v>
      </c>
      <c r="D24" s="147" t="s">
        <v>480</v>
      </c>
      <c r="E24" s="85"/>
      <c r="F24" s="85"/>
      <c r="G24" s="118">
        <f>IF(VLOOKUP('Hide - Control'!A$3,'All practice data'!A:CA,C24+4,FALSE)=" "," ",VLOOKUP('Hide - Control'!A$3,'All practice data'!A:CA,C24+4,FALSE))</f>
        <v>96</v>
      </c>
      <c r="H24" s="119">
        <f>IF(VLOOKUP('Hide - Control'!A$3,'All practice data'!A:CA,C24+30,FALSE)=" "," ",VLOOKUP('Hide - Control'!A$3,'All practice data'!A:CA,C24+30,FALSE))</f>
        <v>0.8156730652</v>
      </c>
      <c r="I24" s="212">
        <f>IF(LEFT(VLOOKUP('Hide - Control'!A$3,'All practice data'!A:CA,C24+44,FALSE),1)=" "," n/a",VLOOKUP('Hide - Control'!A$3,'All practice data'!A:CA,C24+44,FALSE))</f>
        <v>0.6606978607</v>
      </c>
      <c r="J24" s="212">
        <f>IF(LEFT(VLOOKUP('Hide - Control'!A$3,'All practice data'!A:CA,C24+45,FALSE),1)=" "," n/a",VLOOKUP('Hide - Control'!A$3,'All practice data'!A:CA,C24+45,FALSE))</f>
        <v>0.9960764313</v>
      </c>
      <c r="K24" s="152" t="s">
        <v>535</v>
      </c>
      <c r="L24" s="213">
        <v>1</v>
      </c>
      <c r="M24" s="152">
        <f>IF(ISBLANK('Hide - Calculation'!K18),"",'Hide - Calculation'!U18)</f>
        <v>0.18890993297100067</v>
      </c>
      <c r="N24" s="86"/>
      <c r="O24" s="87"/>
      <c r="P24" s="87"/>
      <c r="Q24" s="87"/>
      <c r="R24" s="84"/>
      <c r="S24" s="84"/>
      <c r="T24" s="84"/>
      <c r="U24" s="84"/>
      <c r="V24" s="84"/>
      <c r="W24" s="84"/>
      <c r="X24" s="84"/>
      <c r="Y24" s="84"/>
      <c r="Z24" s="88"/>
      <c r="AA24" s="152">
        <f>IF(ISBLANK('Hide - Calculation'!K18),"",'Hide - Calculation'!T18)</f>
        <v>1.3570189476013184</v>
      </c>
      <c r="AB24" s="234" t="s">
        <v>26</v>
      </c>
      <c r="AC24" s="131" t="s">
        <v>496</v>
      </c>
    </row>
    <row r="25" spans="2:29" s="63" customFormat="1" ht="33.75" customHeight="1">
      <c r="B25" s="306"/>
      <c r="C25" s="137">
        <v>13</v>
      </c>
      <c r="D25" s="147" t="s">
        <v>320</v>
      </c>
      <c r="E25" s="85"/>
      <c r="F25" s="85"/>
      <c r="G25" s="118">
        <f>IF(VLOOKUP('Hide - Control'!A$3,'All practice data'!A:CA,C25+4,FALSE)=" "," ",VLOOKUP('Hide - Control'!A$3,'All practice data'!A:CA,C25+4,FALSE))</f>
        <v>9</v>
      </c>
      <c r="H25" s="119">
        <f>IF(VLOOKUP('Hide - Control'!A$3,'All practice data'!A:CA,C25+30,FALSE)=" "," ",VLOOKUP('Hide - Control'!A$3,'All practice data'!A:CA,C25+30,FALSE))</f>
        <v>0.09375</v>
      </c>
      <c r="I25" s="120">
        <f>IF(LEFT(G25,1)=" "," n/a",IF(G25=0," n/a",+((2*G25+1.96^2-1.96*SQRT(1.96^2+4*G25*(1-G25/G23)))/(2*(G23+1.96^2)))))</f>
        <v>0.050107540469390296</v>
      </c>
      <c r="J25" s="120">
        <f>IF(LEFT(G25,1)=" "," n/a",IF(G25=0," n/a",+((2*G25+1.96^2+1.96*SQRT(1.96^2+4*G25*(1-G25/G23)))/(2*(G23+1.96^2)))))</f>
        <v>0.16865497936202267</v>
      </c>
      <c r="K25" s="125">
        <f>IF('Hide - Calculation'!N19="","",'Hide - Calculation'!N19)</f>
        <v>0.10274963820549927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1</v>
      </c>
      <c r="AB25" s="234" t="s">
        <v>26</v>
      </c>
      <c r="AC25" s="131" t="s">
        <v>496</v>
      </c>
    </row>
    <row r="26" spans="2:29" s="63" customFormat="1" ht="33.75" customHeight="1">
      <c r="B26" s="306"/>
      <c r="C26" s="137">
        <v>14</v>
      </c>
      <c r="D26" s="147" t="s">
        <v>463</v>
      </c>
      <c r="E26" s="85"/>
      <c r="F26" s="85"/>
      <c r="G26" s="121">
        <f>IF(VLOOKUP('Hide - Control'!A$3,'All practice data'!A:CA,C26+4,FALSE)=" "," ",VLOOKUP('Hide - Control'!A$3,'All practice data'!A:CA,C26+4,FALSE))</f>
        <v>30</v>
      </c>
      <c r="H26" s="119">
        <f>IF(VLOOKUP('Hide - Control'!A$3,'All practice data'!A:CA,C26+30,FALSE)=" "," ",VLOOKUP('Hide - Control'!A$3,'All practice data'!A:CA,C26+30,FALSE))</f>
        <v>0.3</v>
      </c>
      <c r="I26" s="120">
        <f>IF(OR(LEFT(G26,1)=" ",LEFT(G25,1)=" ")," n/a",IF(G26=0," n/a",+((2*G25+1.96^2-1.96*SQRT(1.96^2+4*G25*(1-G25/G26)))/(2*(G26+1.96^2)))))</f>
        <v>0.16664562643958938</v>
      </c>
      <c r="J26" s="120">
        <f>IF(OR(LEFT(G26,1)=" ",LEFT(G25,1)=" ")," n/a",IF(G26=0," n/a",+((2*G25+1.96^2+1.96*SQRT(1.96^2+4*G25*(1-G25/G26)))/(2*(G26+1.96^2)))))</f>
        <v>0.4787612101166019</v>
      </c>
      <c r="K26" s="125">
        <f>IF('Hide - Calculation'!N20="","",'Hide - Calculation'!N20)</f>
        <v>0.3526490066225166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0.7272727489471436</v>
      </c>
      <c r="AB26" s="234" t="s">
        <v>26</v>
      </c>
      <c r="AC26" s="131" t="s">
        <v>496</v>
      </c>
    </row>
    <row r="27" spans="2:29" s="63" customFormat="1" ht="33.75" customHeight="1">
      <c r="B27" s="306"/>
      <c r="C27" s="137">
        <v>15</v>
      </c>
      <c r="D27" s="147" t="s">
        <v>450</v>
      </c>
      <c r="E27" s="85"/>
      <c r="F27" s="85"/>
      <c r="G27" s="121">
        <f>IF(VLOOKUP('Hide - Control'!A$3,'All practice data'!A:CA,C27+4,FALSE)=" "," ",VLOOKUP('Hide - Control'!A$3,'All practice data'!A:CA,C27+4,FALSE))</f>
        <v>28</v>
      </c>
      <c r="H27" s="122">
        <f>IF(VLOOKUP('Hide - Control'!A$3,'All practice data'!A:CA,C27+30,FALSE)=" "," ",VLOOKUP('Hide - Control'!A$3,'All practice data'!A:CA,C27+30,FALSE))</f>
        <v>440.1823612639522</v>
      </c>
      <c r="I27" s="123">
        <f>IF(LEFT(G27,1)=" "," n/a",IF(G27&lt;5,100000*VLOOKUP(G27,'Hide - Calculation'!AQ:AR,2,FALSE)/$E$8,100000*(G27*(1-1/(9*G27)-1.96/(3*SQRT(G27)))^3)/$E$8))</f>
        <v>292.4310883125605</v>
      </c>
      <c r="J27" s="123">
        <f>IF(LEFT(G27,1)=" "," n/a",IF(G27&lt;5,100000*VLOOKUP(G27,'Hide - Calculation'!AQ:AS,3,FALSE)/$E$8,100000*((G27+1)*(1-1/(9*(G27+1))+1.96/(3*SQRT(G27+1)))^3)/$E$8))</f>
        <v>636.2136732434537</v>
      </c>
      <c r="K27" s="122">
        <f>IF('Hide - Calculation'!N21="","",'Hide - Calculation'!N21)</f>
        <v>192.85940453459474</v>
      </c>
      <c r="L27" s="156">
        <f>'Hide - Calculation'!O21</f>
        <v>377.7293140102421</v>
      </c>
      <c r="M27" s="148">
        <f>IF(ISBLANK('Hide - Calculation'!K21),"",'Hide - Calculation'!U21)</f>
        <v>56.8397102355957</v>
      </c>
      <c r="N27" s="86"/>
      <c r="O27" s="87"/>
      <c r="P27" s="87"/>
      <c r="Q27" s="87"/>
      <c r="R27" s="84"/>
      <c r="S27" s="84"/>
      <c r="T27" s="84"/>
      <c r="U27" s="84"/>
      <c r="V27" s="84"/>
      <c r="W27" s="84"/>
      <c r="X27" s="84"/>
      <c r="Y27" s="84"/>
      <c r="Z27" s="88"/>
      <c r="AA27" s="148">
        <f>IF(ISBLANK('Hide - Calculation'!K21),"",'Hide - Calculation'!T21)</f>
        <v>548.780517578125</v>
      </c>
      <c r="AB27" s="234" t="s">
        <v>26</v>
      </c>
      <c r="AC27" s="131" t="s">
        <v>496</v>
      </c>
    </row>
    <row r="28" spans="2:29" s="63" customFormat="1" ht="33.75" customHeight="1">
      <c r="B28" s="306"/>
      <c r="C28" s="137">
        <v>16</v>
      </c>
      <c r="D28" s="147" t="s">
        <v>451</v>
      </c>
      <c r="E28" s="85"/>
      <c r="F28" s="85"/>
      <c r="G28" s="121">
        <f>IF(VLOOKUP('Hide - Control'!A$3,'All practice data'!A:CA,C28+4,FALSE)=" "," ",VLOOKUP('Hide - Control'!A$3,'All practice data'!A:CA,C28+4,FALSE))</f>
        <v>14</v>
      </c>
      <c r="H28" s="122">
        <f>IF(VLOOKUP('Hide - Control'!A$3,'All practice data'!A:CA,C28+30,FALSE)=" "," ",VLOOKUP('Hide - Control'!A$3,'All practice data'!A:CA,C28+30,FALSE))</f>
        <v>220.0911806319761</v>
      </c>
      <c r="I28" s="123">
        <f>IF(LEFT(G28,1)=" "," n/a",IF(G28&lt;5,100000*VLOOKUP(G28,'Hide - Calculation'!AQ:AR,2,FALSE)/$E$8,100000*(G28*(1-1/(9*G28)-1.96/(3*SQRT(G28)))^3)/$E$8))</f>
        <v>120.2238744025185</v>
      </c>
      <c r="J28" s="123">
        <f>IF(LEFT(G28,1)=" "," n/a",IF(G28&lt;5,100000*VLOOKUP(G28,'Hide - Calculation'!AQ:AS,3,FALSE)/$E$8,100000*((G28+1)*(1-1/(9*(G28+1))+1.96/(3*SQRT(G28+1)))^3)/$E$8))</f>
        <v>369.3002026005778</v>
      </c>
      <c r="K28" s="122">
        <f>IF('Hide - Calculation'!N22="","",'Hide - Calculation'!N22)</f>
        <v>165.99341783325818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541.3941040039062</v>
      </c>
      <c r="AB28" s="234" t="s">
        <v>26</v>
      </c>
      <c r="AC28" s="131" t="s">
        <v>496</v>
      </c>
    </row>
    <row r="29" spans="2:29" s="63" customFormat="1" ht="33.75" customHeight="1">
      <c r="B29" s="306"/>
      <c r="C29" s="137">
        <v>17</v>
      </c>
      <c r="D29" s="147" t="s">
        <v>452</v>
      </c>
      <c r="E29" s="85"/>
      <c r="F29" s="85"/>
      <c r="G29" s="121">
        <f>IF(VLOOKUP('Hide - Control'!A$3,'All practice data'!A:CA,C29+4,FALSE)=" "," ",VLOOKUP('Hide - Control'!A$3,'All practice data'!A:CA,C29+4,FALSE))</f>
        <v>6</v>
      </c>
      <c r="H29" s="122">
        <f>IF(VLOOKUP('Hide - Control'!A$3,'All practice data'!A:CA,C29+30,FALSE)=" "," ",VLOOKUP('Hide - Control'!A$3,'All practice data'!A:CA,C29+30,FALSE))</f>
        <v>94.32479169941833</v>
      </c>
      <c r="I29" s="123">
        <f>IF(LEFT(G29,1)=" "," n/a",IF(G29&lt;5,100000*VLOOKUP(G29,'Hide - Calculation'!AQ:AR,2,FALSE)/$E$8,100000*(G29*(1-1/(9*G29)-1.96/(3*SQRT(G29)))^3)/$E$8))</f>
        <v>34.44333816512623</v>
      </c>
      <c r="J29" s="123">
        <f>IF(LEFT(G29,1)=" "," n/a",IF(G29&lt;5,100000*VLOOKUP(G29,'Hide - Calculation'!AQ:AS,3,FALSE)/$E$8,100000*((G29+1)*(1-1/(9*(G29+1))+1.96/(3*SQRT(G29+1)))^3)/$E$8))</f>
        <v>205.31198347237478</v>
      </c>
      <c r="K29" s="122">
        <f>IF('Hide - Calculation'!N23="","",'Hide - Calculation'!N23)</f>
        <v>66.20546722829373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162.51904296875</v>
      </c>
      <c r="AB29" s="234" t="s">
        <v>26</v>
      </c>
      <c r="AC29" s="131" t="s">
        <v>496</v>
      </c>
    </row>
    <row r="30" spans="2:29" s="63" customFormat="1" ht="33.75" customHeight="1" thickBot="1">
      <c r="B30" s="309"/>
      <c r="C30" s="180">
        <v>18</v>
      </c>
      <c r="D30" s="181" t="s">
        <v>453</v>
      </c>
      <c r="E30" s="182"/>
      <c r="F30" s="182"/>
      <c r="G30" s="183">
        <f>IF(VLOOKUP('Hide - Control'!A$3,'All practice data'!A:CA,C30+4,FALSE)=" "," ",VLOOKUP('Hide - Control'!A$3,'All practice data'!A:CA,C30+4,FALSE))</f>
        <v>10</v>
      </c>
      <c r="H30" s="184">
        <f>IF(VLOOKUP('Hide - Control'!A$3,'All practice data'!A:CA,C30+30,FALSE)=" "," ",VLOOKUP('Hide - Control'!A$3,'All practice data'!A:CA,C30+30,FALSE))</f>
        <v>157.2079861656972</v>
      </c>
      <c r="I30" s="185">
        <f>IF(LEFT(G30,1)=" "," n/a",IF(G30&lt;5,100000*VLOOKUP(G30,'Hide - Calculation'!AQ:AR,2,FALSE)/$E$8,100000*(G30*(1-1/(9*G30)-1.96/(3*SQRT(G30)))^3)/$E$8))</f>
        <v>75.2614402693539</v>
      </c>
      <c r="J30" s="185">
        <f>IF(LEFT(G30,1)=" "," n/a",IF(G30&lt;5,100000*VLOOKUP(G30,'Hide - Calculation'!AQ:AS,3,FALSE)/$E$8,100000*((G30+1)*(1-1/(9*(G30+1))+1.96/(3*SQRT(G30+1)))^3)/$E$8))</f>
        <v>289.13106231803994</v>
      </c>
      <c r="K30" s="184">
        <f>IF('Hide - Calculation'!N24="","",'Hide - Calculation'!N24)</f>
        <v>138.16793160687385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330.9266052246094</v>
      </c>
      <c r="AB30" s="235" t="s">
        <v>26</v>
      </c>
      <c r="AC30" s="189" t="s">
        <v>496</v>
      </c>
    </row>
    <row r="31" spans="2:29" s="63" customFormat="1" ht="33.75" customHeight="1">
      <c r="B31" s="304" t="s">
        <v>322</v>
      </c>
      <c r="C31" s="163">
        <v>19</v>
      </c>
      <c r="D31" s="164" t="s">
        <v>326</v>
      </c>
      <c r="E31" s="165"/>
      <c r="F31" s="165"/>
      <c r="G31" s="166">
        <f>IF(VLOOKUP('Hide - Control'!A$3,'All practice data'!A:CA,C31+4,FALSE)=" "," ",VLOOKUP('Hide - Control'!A$3,'All practice data'!A:CA,C31+4,FALSE))</f>
        <v>28</v>
      </c>
      <c r="H31" s="167">
        <f>IF(VLOOKUP('Hide - Control'!A$3,'All practice data'!A:CA,C31+30,FALSE)=" "," ",VLOOKUP('Hide - Control'!A$3,'All practice data'!A:CA,C31+30,FALSE))</f>
        <v>440.1823612639522</v>
      </c>
      <c r="I31" s="168">
        <f>IF(LEFT(G31,1)=" "," n/a",IF(G31&lt;5,100000*VLOOKUP(G31,'Hide - Calculation'!AQ:AR,2,FALSE)/$E$8,100000*(G31*(1-1/(9*G31)-1.96/(3*SQRT(G31)))^3)/$E$8))</f>
        <v>292.4310883125605</v>
      </c>
      <c r="J31" s="168">
        <f>IF(LEFT(G31,1)=" "," n/a",IF(G31&lt;5,100000*VLOOKUP(G31,'Hide - Calculation'!AQ:AS,3,FALSE)/$E$8,100000*((G31+1)*(1-1/(9*(G31+1))+1.96/(3*SQRT(G31+1)))^3)/$E$8))</f>
        <v>636.2136732434537</v>
      </c>
      <c r="K31" s="167">
        <f>IF('Hide - Calculation'!N25="","",'Hide - Calculation'!N25)</f>
        <v>327.18933804127767</v>
      </c>
      <c r="L31" s="169">
        <f>'Hide - Calculation'!O25</f>
        <v>562.6134400960308</v>
      </c>
      <c r="M31" s="170">
        <f>IF(ISBLANK('Hide - Calculation'!K25),"",'Hide - Calculation'!U25)</f>
        <v>169.72689819335938</v>
      </c>
      <c r="N31" s="171"/>
      <c r="O31" s="172"/>
      <c r="P31" s="172"/>
      <c r="Q31" s="172"/>
      <c r="R31" s="173"/>
      <c r="S31" s="173"/>
      <c r="T31" s="173"/>
      <c r="U31" s="173"/>
      <c r="V31" s="173"/>
      <c r="W31" s="173"/>
      <c r="X31" s="173"/>
      <c r="Y31" s="173"/>
      <c r="Z31" s="174"/>
      <c r="AA31" s="170">
        <f>IF(ISBLANK('Hide - Calculation'!K25),"",'Hide - Calculation'!T25)</f>
        <v>744.4168701171875</v>
      </c>
      <c r="AB31" s="233" t="s">
        <v>47</v>
      </c>
      <c r="AC31" s="175" t="s">
        <v>496</v>
      </c>
    </row>
    <row r="32" spans="2:29" s="63" customFormat="1" ht="33.75" customHeight="1">
      <c r="B32" s="305"/>
      <c r="C32" s="137">
        <v>20</v>
      </c>
      <c r="D32" s="132" t="s">
        <v>327</v>
      </c>
      <c r="E32" s="85"/>
      <c r="F32" s="85"/>
      <c r="G32" s="121">
        <f>IF(VLOOKUP('Hide - Control'!A$3,'All practice data'!A:CA,C32+4,FALSE)=" "," ",VLOOKUP('Hide - Control'!A$3,'All practice data'!A:CA,C32+4,FALSE))</f>
        <v>28</v>
      </c>
      <c r="H32" s="122">
        <f>IF(VLOOKUP('Hide - Control'!A$3,'All practice data'!A:CA,C32+30,FALSE)=" "," ",VLOOKUP('Hide - Control'!A$3,'All practice data'!A:CA,C32+30,FALSE))</f>
        <v>440.1823612639522</v>
      </c>
      <c r="I32" s="123">
        <f>IF(LEFT(G32,1)=" "," n/a",IF(G32&lt;5,100000*VLOOKUP(G32,'Hide - Calculation'!AQ:AR,2,FALSE)/$E$8,100000*(G32*(1-1/(9*G32)-1.96/(3*SQRT(G32)))^3)/$E$8))</f>
        <v>292.4310883125605</v>
      </c>
      <c r="J32" s="123">
        <f>IF(LEFT(G32,1)=" "," n/a",IF(G32&lt;5,100000*VLOOKUP(G32,'Hide - Calculation'!AQ:AS,3,FALSE)/$E$8,100000*((G32+1)*(1-1/(9*(G32+1))+1.96/(3*SQRT(G32+1)))^3)/$E$8))</f>
        <v>636.2136732434537</v>
      </c>
      <c r="K32" s="122">
        <f>IF('Hide - Calculation'!N26="","",'Hide - Calculation'!N26)</f>
        <v>343.98057972961305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1150.46240234375</v>
      </c>
      <c r="AB32" s="234" t="s">
        <v>47</v>
      </c>
      <c r="AC32" s="131" t="s">
        <v>496</v>
      </c>
    </row>
    <row r="33" spans="2:29" s="63" customFormat="1" ht="33.75" customHeight="1">
      <c r="B33" s="305"/>
      <c r="C33" s="137">
        <v>21</v>
      </c>
      <c r="D33" s="132" t="s">
        <v>329</v>
      </c>
      <c r="E33" s="85"/>
      <c r="F33" s="85"/>
      <c r="G33" s="121">
        <f>IF(VLOOKUP('Hide - Control'!A$3,'All practice data'!A:CA,C33+4,FALSE)=" "," ",VLOOKUP('Hide - Control'!A$3,'All practice data'!A:CA,C33+4,FALSE))</f>
        <v>52</v>
      </c>
      <c r="H33" s="122">
        <f>IF(VLOOKUP('Hide - Control'!A$3,'All practice data'!A:CA,C33+30,FALSE)=" "," ",VLOOKUP('Hide - Control'!A$3,'All practice data'!A:CA,C33+30,FALSE))</f>
        <v>817.4815280616256</v>
      </c>
      <c r="I33" s="123">
        <f>IF(LEFT(G33,1)=" "," n/a",IF(G33&lt;5,100000*VLOOKUP(G33,'Hide - Calculation'!AQ:AR,2,FALSE)/$E$8,100000*(G33*(1-1/(9*G33)-1.96/(3*SQRT(G33)))^3)/$E$8))</f>
        <v>610.4870015948505</v>
      </c>
      <c r="J33" s="123">
        <f>IF(LEFT(G33,1)=" "," n/a",IF(G33&lt;5,100000*VLOOKUP(G33,'Hide - Calculation'!AQ:AS,3,FALSE)/$E$8,100000*((G33+1)*(1-1/(9*(G33+1))+1.96/(3*SQRT(G33+1)))^3)/$E$8))</f>
        <v>1072.0447992629665</v>
      </c>
      <c r="K33" s="122">
        <f>IF('Hide - Calculation'!N27="","",'Hide - Calculation'!N27)</f>
        <v>767.599620038188</v>
      </c>
      <c r="L33" s="156">
        <f>'Hide - Calculation'!O27</f>
        <v>1059.3522061277838</v>
      </c>
      <c r="M33" s="148">
        <f>IF(ISBLANK('Hide - Calculation'!K27),"",'Hide - Calculation'!U27)</f>
        <v>357.3023681640625</v>
      </c>
      <c r="N33" s="86"/>
      <c r="O33" s="87"/>
      <c r="P33" s="87"/>
      <c r="Q33" s="87"/>
      <c r="R33" s="84"/>
      <c r="S33" s="84"/>
      <c r="T33" s="84"/>
      <c r="U33" s="84"/>
      <c r="V33" s="84"/>
      <c r="W33" s="84"/>
      <c r="X33" s="84"/>
      <c r="Y33" s="84"/>
      <c r="Z33" s="88"/>
      <c r="AA33" s="148">
        <f>IF(ISBLANK('Hide - Calculation'!K27),"",'Hide - Calculation'!T27)</f>
        <v>1502.629638671875</v>
      </c>
      <c r="AB33" s="234" t="s">
        <v>47</v>
      </c>
      <c r="AC33" s="131" t="s">
        <v>496</v>
      </c>
    </row>
    <row r="34" spans="2:29" s="63" customFormat="1" ht="33.75" customHeight="1">
      <c r="B34" s="305"/>
      <c r="C34" s="137">
        <v>22</v>
      </c>
      <c r="D34" s="132" t="s">
        <v>328</v>
      </c>
      <c r="E34" s="85"/>
      <c r="F34" s="85"/>
      <c r="G34" s="118">
        <f>IF(VLOOKUP('Hide - Control'!A$3,'All practice data'!A:CA,C34+4,FALSE)=" "," ",VLOOKUP('Hide - Control'!A$3,'All practice data'!A:CA,C34+4,FALSE))</f>
        <v>47</v>
      </c>
      <c r="H34" s="122">
        <f>IF(VLOOKUP('Hide - Control'!A$3,'All practice data'!A:CA,C34+30,FALSE)=" "," ",VLOOKUP('Hide - Control'!A$3,'All practice data'!A:CA,C34+30,FALSE))</f>
        <v>738.8775349787769</v>
      </c>
      <c r="I34" s="123">
        <f>IF(LEFT(G34,1)=" "," n/a",IF(G34&lt;5,100000*VLOOKUP(G34,'Hide - Calculation'!AQ:AR,2,FALSE)/$E$8,100000*(G34*(1-1/(9*G34)-1.96/(3*SQRT(G34)))^3)/$E$8))</f>
        <v>542.849500238398</v>
      </c>
      <c r="J34" s="123">
        <f>IF(LEFT(G34,1)=" "," n/a",IF(G34&lt;5,100000*VLOOKUP(G34,'Hide - Calculation'!AQ:AS,3,FALSE)/$E$8,100000*((G34+1)*(1-1/(9*(G34+1))+1.96/(3*SQRT(G34+1)))^3)/$E$8))</f>
        <v>982.5773076580341</v>
      </c>
      <c r="K34" s="122">
        <f>IF('Hide - Calculation'!N28="","",'Hide - Calculation'!N28)</f>
        <v>464.3977701231038</v>
      </c>
      <c r="L34" s="156">
        <f>'Hide - Calculation'!O28</f>
        <v>582.9390489900089</v>
      </c>
      <c r="M34" s="148">
        <f>IF(ISBLANK('Hide - Calculation'!K28),"",'Hide - Calculation'!U28)</f>
        <v>137.03993225097656</v>
      </c>
      <c r="N34" s="86"/>
      <c r="O34" s="87"/>
      <c r="P34" s="87"/>
      <c r="Q34" s="87"/>
      <c r="R34" s="84"/>
      <c r="S34" s="84"/>
      <c r="T34" s="84"/>
      <c r="U34" s="84"/>
      <c r="V34" s="84"/>
      <c r="W34" s="84"/>
      <c r="X34" s="84"/>
      <c r="Y34" s="84"/>
      <c r="Z34" s="88"/>
      <c r="AA34" s="148">
        <f>IF(ISBLANK('Hide - Calculation'!K28),"",'Hide - Calculation'!T28)</f>
        <v>976.709228515625</v>
      </c>
      <c r="AB34" s="234" t="s">
        <v>47</v>
      </c>
      <c r="AC34" s="131" t="s">
        <v>496</v>
      </c>
    </row>
    <row r="35" spans="2:29" s="63" customFormat="1" ht="33.75" customHeight="1">
      <c r="B35" s="305"/>
      <c r="C35" s="137">
        <v>23</v>
      </c>
      <c r="D35" s="138" t="s">
        <v>454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534</v>
      </c>
      <c r="C39" s="244"/>
      <c r="D39" s="244"/>
      <c r="E39" s="303" t="s">
        <v>538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479</v>
      </c>
      <c r="BE2" s="341"/>
      <c r="BF2" s="341"/>
      <c r="BG2" s="341"/>
      <c r="BH2" s="341"/>
      <c r="BI2" s="341"/>
      <c r="BJ2" s="342"/>
    </row>
    <row r="3" spans="1:82" s="72" customFormat="1" ht="76.5" customHeight="1">
      <c r="A3" s="266" t="s">
        <v>276</v>
      </c>
      <c r="B3" s="275" t="s">
        <v>277</v>
      </c>
      <c r="C3" s="276" t="s">
        <v>49</v>
      </c>
      <c r="D3" s="274" t="s">
        <v>464</v>
      </c>
      <c r="E3" s="267" t="s">
        <v>336</v>
      </c>
      <c r="F3" s="267" t="s">
        <v>447</v>
      </c>
      <c r="G3" s="267" t="s">
        <v>338</v>
      </c>
      <c r="H3" s="267" t="s">
        <v>339</v>
      </c>
      <c r="I3" s="267" t="s">
        <v>340</v>
      </c>
      <c r="J3" s="267" t="s">
        <v>488</v>
      </c>
      <c r="K3" s="267" t="s">
        <v>489</v>
      </c>
      <c r="L3" s="267" t="s">
        <v>490</v>
      </c>
      <c r="M3" s="267" t="s">
        <v>341</v>
      </c>
      <c r="N3" s="267" t="s">
        <v>342</v>
      </c>
      <c r="O3" s="267" t="s">
        <v>343</v>
      </c>
      <c r="P3" s="267" t="s">
        <v>478</v>
      </c>
      <c r="Q3" s="267" t="s">
        <v>344</v>
      </c>
      <c r="R3" s="267" t="s">
        <v>345</v>
      </c>
      <c r="S3" s="267" t="s">
        <v>346</v>
      </c>
      <c r="T3" s="267" t="s">
        <v>347</v>
      </c>
      <c r="U3" s="267" t="s">
        <v>348</v>
      </c>
      <c r="V3" s="267" t="s">
        <v>349</v>
      </c>
      <c r="W3" s="267" t="s">
        <v>350</v>
      </c>
      <c r="X3" s="267" t="s">
        <v>351</v>
      </c>
      <c r="Y3" s="267" t="s">
        <v>352</v>
      </c>
      <c r="Z3" s="267" t="s">
        <v>353</v>
      </c>
      <c r="AA3" s="267" t="s">
        <v>354</v>
      </c>
      <c r="AB3" s="267" t="s">
        <v>355</v>
      </c>
      <c r="AC3" s="267" t="s">
        <v>356</v>
      </c>
      <c r="AD3" s="268" t="s">
        <v>357</v>
      </c>
      <c r="AE3" s="268" t="s">
        <v>336</v>
      </c>
      <c r="AF3" s="269" t="s">
        <v>337</v>
      </c>
      <c r="AG3" s="268" t="s">
        <v>338</v>
      </c>
      <c r="AH3" s="268" t="s">
        <v>339</v>
      </c>
      <c r="AI3" s="268" t="s">
        <v>340</v>
      </c>
      <c r="AJ3" s="268" t="s">
        <v>488</v>
      </c>
      <c r="AK3" s="268" t="s">
        <v>489</v>
      </c>
      <c r="AL3" s="268" t="s">
        <v>490</v>
      </c>
      <c r="AM3" s="268" t="s">
        <v>341</v>
      </c>
      <c r="AN3" s="268" t="s">
        <v>342</v>
      </c>
      <c r="AO3" s="268" t="s">
        <v>343</v>
      </c>
      <c r="AP3" s="268" t="s">
        <v>478</v>
      </c>
      <c r="AQ3" s="268" t="s">
        <v>344</v>
      </c>
      <c r="AR3" s="268" t="s">
        <v>345</v>
      </c>
      <c r="AS3" s="268" t="s">
        <v>346</v>
      </c>
      <c r="AT3" s="268" t="s">
        <v>347</v>
      </c>
      <c r="AU3" s="268" t="s">
        <v>348</v>
      </c>
      <c r="AV3" s="268" t="s">
        <v>349</v>
      </c>
      <c r="AW3" s="268" t="s">
        <v>350</v>
      </c>
      <c r="AX3" s="268" t="s">
        <v>351</v>
      </c>
      <c r="AY3" s="270" t="s">
        <v>352</v>
      </c>
      <c r="AZ3" s="271" t="s">
        <v>353</v>
      </c>
      <c r="BA3" s="271" t="s">
        <v>354</v>
      </c>
      <c r="BB3" s="271" t="s">
        <v>355</v>
      </c>
      <c r="BC3" s="272" t="s">
        <v>356</v>
      </c>
      <c r="BD3" s="273" t="s">
        <v>476</v>
      </c>
      <c r="BE3" s="273" t="s">
        <v>477</v>
      </c>
      <c r="BF3" s="273" t="s">
        <v>484</v>
      </c>
      <c r="BG3" s="273" t="s">
        <v>485</v>
      </c>
      <c r="BH3" s="273" t="s">
        <v>483</v>
      </c>
      <c r="BI3" s="273" t="s">
        <v>486</v>
      </c>
      <c r="BJ3" s="273" t="s">
        <v>487</v>
      </c>
      <c r="BK3" s="73"/>
      <c r="BL3" s="73"/>
      <c r="BM3" s="73"/>
      <c r="BN3" s="73"/>
      <c r="BO3" s="73"/>
      <c r="BP3" s="73"/>
      <c r="BQ3" s="73"/>
      <c r="BR3" s="73"/>
      <c r="BS3" s="73"/>
      <c r="BT3" s="73"/>
      <c r="BU3" s="73"/>
      <c r="BV3" s="73"/>
      <c r="BW3" s="73"/>
      <c r="BX3" s="73"/>
      <c r="BY3" s="73"/>
      <c r="BZ3" s="73"/>
      <c r="CA3" s="73"/>
      <c r="CB3" s="73"/>
      <c r="CC3" s="73"/>
      <c r="CD3" s="73"/>
    </row>
    <row r="4" spans="1:66" ht="12.75">
      <c r="A4" s="79" t="s">
        <v>524</v>
      </c>
      <c r="B4" s="79" t="s">
        <v>308</v>
      </c>
      <c r="C4" s="79" t="s">
        <v>98</v>
      </c>
      <c r="D4" s="99">
        <v>6361</v>
      </c>
      <c r="E4" s="99">
        <v>964</v>
      </c>
      <c r="F4" s="99" t="s">
        <v>334</v>
      </c>
      <c r="G4" s="99">
        <v>23</v>
      </c>
      <c r="H4" s="99">
        <v>16</v>
      </c>
      <c r="I4" s="99">
        <v>88</v>
      </c>
      <c r="J4" s="99">
        <v>648</v>
      </c>
      <c r="K4" s="99">
        <v>601</v>
      </c>
      <c r="L4" s="99">
        <v>1240</v>
      </c>
      <c r="M4" s="99">
        <v>340</v>
      </c>
      <c r="N4" s="99">
        <v>167</v>
      </c>
      <c r="O4" s="99">
        <v>96</v>
      </c>
      <c r="P4" s="159">
        <v>96</v>
      </c>
      <c r="Q4" s="99">
        <v>9</v>
      </c>
      <c r="R4" s="99">
        <v>30</v>
      </c>
      <c r="S4" s="99">
        <v>28</v>
      </c>
      <c r="T4" s="99">
        <v>14</v>
      </c>
      <c r="U4" s="99">
        <v>6</v>
      </c>
      <c r="V4" s="99">
        <v>10</v>
      </c>
      <c r="W4" s="99">
        <v>28</v>
      </c>
      <c r="X4" s="99">
        <v>28</v>
      </c>
      <c r="Y4" s="99">
        <v>52</v>
      </c>
      <c r="Z4" s="99">
        <v>47</v>
      </c>
      <c r="AA4" s="99" t="s">
        <v>537</v>
      </c>
      <c r="AB4" s="99" t="s">
        <v>537</v>
      </c>
      <c r="AC4" s="99" t="s">
        <v>537</v>
      </c>
      <c r="AD4" s="98" t="s">
        <v>312</v>
      </c>
      <c r="AE4" s="100">
        <v>0.15154849866373213</v>
      </c>
      <c r="AF4" s="100">
        <v>0.11</v>
      </c>
      <c r="AG4" s="98">
        <v>361.5783681811036</v>
      </c>
      <c r="AH4" s="98">
        <v>251.53277786511555</v>
      </c>
      <c r="AI4" s="100">
        <v>0.013999999999999999</v>
      </c>
      <c r="AJ4" s="100">
        <v>0.820253</v>
      </c>
      <c r="AK4" s="100">
        <v>0.78768</v>
      </c>
      <c r="AL4" s="100">
        <v>0.747438</v>
      </c>
      <c r="AM4" s="100">
        <v>0.508221</v>
      </c>
      <c r="AN4" s="100">
        <v>0.509146</v>
      </c>
      <c r="AO4" s="98">
        <v>1509.1966671906932</v>
      </c>
      <c r="AP4" s="158">
        <v>0.8156730652</v>
      </c>
      <c r="AQ4" s="100">
        <v>0.09375</v>
      </c>
      <c r="AR4" s="100">
        <v>0.3</v>
      </c>
      <c r="AS4" s="98">
        <v>440.1823612639522</v>
      </c>
      <c r="AT4" s="98">
        <v>220.0911806319761</v>
      </c>
      <c r="AU4" s="98">
        <v>94.32479169941833</v>
      </c>
      <c r="AV4" s="98">
        <v>157.2079861656972</v>
      </c>
      <c r="AW4" s="98">
        <v>440.1823612639522</v>
      </c>
      <c r="AX4" s="98">
        <v>440.1823612639522</v>
      </c>
      <c r="AY4" s="98">
        <v>817.4815280616256</v>
      </c>
      <c r="AZ4" s="98">
        <v>738.8775349787769</v>
      </c>
      <c r="BA4" s="100" t="s">
        <v>537</v>
      </c>
      <c r="BB4" s="100" t="s">
        <v>537</v>
      </c>
      <c r="BC4" s="100" t="s">
        <v>537</v>
      </c>
      <c r="BD4" s="158">
        <v>0.6606978607</v>
      </c>
      <c r="BE4" s="158">
        <v>0.9960764313</v>
      </c>
      <c r="BF4" s="162">
        <v>790</v>
      </c>
      <c r="BG4" s="162">
        <v>763</v>
      </c>
      <c r="BH4" s="162">
        <v>1659</v>
      </c>
      <c r="BI4" s="162">
        <v>669</v>
      </c>
      <c r="BJ4" s="162">
        <v>328</v>
      </c>
      <c r="BK4" s="97"/>
      <c r="BL4" s="97"/>
      <c r="BM4" s="97"/>
      <c r="BN4" s="97"/>
    </row>
    <row r="5" spans="1:66" ht="12.75">
      <c r="A5" s="79" t="s">
        <v>512</v>
      </c>
      <c r="B5" s="79" t="s">
        <v>295</v>
      </c>
      <c r="C5" s="79" t="s">
        <v>98</v>
      </c>
      <c r="D5" s="99">
        <v>7680</v>
      </c>
      <c r="E5" s="99">
        <v>859</v>
      </c>
      <c r="F5" s="99" t="s">
        <v>332</v>
      </c>
      <c r="G5" s="99">
        <v>19</v>
      </c>
      <c r="H5" s="99">
        <v>13</v>
      </c>
      <c r="I5" s="99">
        <v>71</v>
      </c>
      <c r="J5" s="99">
        <v>467</v>
      </c>
      <c r="K5" s="99">
        <v>397</v>
      </c>
      <c r="L5" s="99">
        <v>1388</v>
      </c>
      <c r="M5" s="99">
        <v>229</v>
      </c>
      <c r="N5" s="99">
        <v>119</v>
      </c>
      <c r="O5" s="99">
        <v>37</v>
      </c>
      <c r="P5" s="159">
        <v>37</v>
      </c>
      <c r="Q5" s="99">
        <v>6</v>
      </c>
      <c r="R5" s="99">
        <v>26</v>
      </c>
      <c r="S5" s="99">
        <v>7</v>
      </c>
      <c r="T5" s="99" t="s">
        <v>537</v>
      </c>
      <c r="U5" s="99" t="s">
        <v>537</v>
      </c>
      <c r="V5" s="99" t="s">
        <v>537</v>
      </c>
      <c r="W5" s="99">
        <v>18</v>
      </c>
      <c r="X5" s="99">
        <v>26</v>
      </c>
      <c r="Y5" s="99">
        <v>47</v>
      </c>
      <c r="Z5" s="99">
        <v>16</v>
      </c>
      <c r="AA5" s="99" t="s">
        <v>537</v>
      </c>
      <c r="AB5" s="99" t="s">
        <v>537</v>
      </c>
      <c r="AC5" s="99" t="s">
        <v>537</v>
      </c>
      <c r="AD5" s="98" t="s">
        <v>312</v>
      </c>
      <c r="AE5" s="100">
        <v>0.11184895833333333</v>
      </c>
      <c r="AF5" s="100">
        <v>0.22</v>
      </c>
      <c r="AG5" s="98">
        <v>247.39583333333334</v>
      </c>
      <c r="AH5" s="98">
        <v>169.27083333333334</v>
      </c>
      <c r="AI5" s="100">
        <v>0.009000000000000001</v>
      </c>
      <c r="AJ5" s="100">
        <v>0.677794</v>
      </c>
      <c r="AK5" s="100">
        <v>0.706406</v>
      </c>
      <c r="AL5" s="100">
        <v>0.746237</v>
      </c>
      <c r="AM5" s="100">
        <v>0.420956</v>
      </c>
      <c r="AN5" s="100">
        <v>0.459459</v>
      </c>
      <c r="AO5" s="98">
        <v>481.7708333333333</v>
      </c>
      <c r="AP5" s="158">
        <v>0.3192898178</v>
      </c>
      <c r="AQ5" s="100">
        <v>0.16216216216216217</v>
      </c>
      <c r="AR5" s="100">
        <v>0.23076923076923078</v>
      </c>
      <c r="AS5" s="98">
        <v>91.14583333333333</v>
      </c>
      <c r="AT5" s="98" t="s">
        <v>537</v>
      </c>
      <c r="AU5" s="98" t="s">
        <v>537</v>
      </c>
      <c r="AV5" s="98" t="s">
        <v>537</v>
      </c>
      <c r="AW5" s="98">
        <v>234.375</v>
      </c>
      <c r="AX5" s="98">
        <v>338.5416666666667</v>
      </c>
      <c r="AY5" s="98">
        <v>611.9791666666666</v>
      </c>
      <c r="AZ5" s="98">
        <v>208.33333333333334</v>
      </c>
      <c r="BA5" s="100" t="s">
        <v>537</v>
      </c>
      <c r="BB5" s="100" t="s">
        <v>537</v>
      </c>
      <c r="BC5" s="100" t="s">
        <v>537</v>
      </c>
      <c r="BD5" s="158">
        <v>0.224809494</v>
      </c>
      <c r="BE5" s="158">
        <v>0.4400989532</v>
      </c>
      <c r="BF5" s="162">
        <v>689</v>
      </c>
      <c r="BG5" s="162">
        <v>562</v>
      </c>
      <c r="BH5" s="162">
        <v>1860</v>
      </c>
      <c r="BI5" s="162">
        <v>544</v>
      </c>
      <c r="BJ5" s="162">
        <v>259</v>
      </c>
      <c r="BK5" s="97"/>
      <c r="BL5" s="97"/>
      <c r="BM5" s="97"/>
      <c r="BN5" s="97"/>
    </row>
    <row r="6" spans="1:66" ht="12.75">
      <c r="A6" s="79" t="s">
        <v>523</v>
      </c>
      <c r="B6" s="79" t="s">
        <v>307</v>
      </c>
      <c r="C6" s="79" t="s">
        <v>98</v>
      </c>
      <c r="D6" s="99">
        <v>2597</v>
      </c>
      <c r="E6" s="99">
        <v>147</v>
      </c>
      <c r="F6" s="99" t="s">
        <v>333</v>
      </c>
      <c r="G6" s="99" t="s">
        <v>537</v>
      </c>
      <c r="H6" s="99" t="s">
        <v>537</v>
      </c>
      <c r="I6" s="99">
        <v>6</v>
      </c>
      <c r="J6" s="99">
        <v>52</v>
      </c>
      <c r="K6" s="99" t="s">
        <v>537</v>
      </c>
      <c r="L6" s="99">
        <v>383</v>
      </c>
      <c r="M6" s="99">
        <v>15</v>
      </c>
      <c r="N6" s="99" t="s">
        <v>537</v>
      </c>
      <c r="O6" s="99" t="s">
        <v>537</v>
      </c>
      <c r="P6" s="159" t="s">
        <v>537</v>
      </c>
      <c r="Q6" s="99" t="s">
        <v>537</v>
      </c>
      <c r="R6" s="99" t="s">
        <v>537</v>
      </c>
      <c r="S6" s="99" t="s">
        <v>537</v>
      </c>
      <c r="T6" s="99" t="s">
        <v>537</v>
      </c>
      <c r="U6" s="99" t="s">
        <v>537</v>
      </c>
      <c r="V6" s="99" t="s">
        <v>537</v>
      </c>
      <c r="W6" s="99" t="s">
        <v>537</v>
      </c>
      <c r="X6" s="99" t="s">
        <v>537</v>
      </c>
      <c r="Y6" s="99">
        <v>15</v>
      </c>
      <c r="Z6" s="99" t="s">
        <v>537</v>
      </c>
      <c r="AA6" s="99" t="s">
        <v>537</v>
      </c>
      <c r="AB6" s="99" t="s">
        <v>537</v>
      </c>
      <c r="AC6" s="99" t="s">
        <v>537</v>
      </c>
      <c r="AD6" s="98" t="s">
        <v>312</v>
      </c>
      <c r="AE6" s="100">
        <v>0.05660377358490566</v>
      </c>
      <c r="AF6" s="100">
        <v>0.3</v>
      </c>
      <c r="AG6" s="98" t="s">
        <v>537</v>
      </c>
      <c r="AH6" s="98" t="s">
        <v>537</v>
      </c>
      <c r="AI6" s="100">
        <v>0.002</v>
      </c>
      <c r="AJ6" s="100">
        <v>0.477064</v>
      </c>
      <c r="AK6" s="100" t="s">
        <v>537</v>
      </c>
      <c r="AL6" s="100">
        <v>0.759921</v>
      </c>
      <c r="AM6" s="100">
        <v>0.227273</v>
      </c>
      <c r="AN6" s="100" t="s">
        <v>537</v>
      </c>
      <c r="AO6" s="98" t="s">
        <v>537</v>
      </c>
      <c r="AP6" s="158" t="s">
        <v>537</v>
      </c>
      <c r="AQ6" s="100" t="s">
        <v>537</v>
      </c>
      <c r="AR6" s="100" t="s">
        <v>537</v>
      </c>
      <c r="AS6" s="98" t="s">
        <v>537</v>
      </c>
      <c r="AT6" s="98" t="s">
        <v>537</v>
      </c>
      <c r="AU6" s="98" t="s">
        <v>537</v>
      </c>
      <c r="AV6" s="98" t="s">
        <v>537</v>
      </c>
      <c r="AW6" s="98" t="s">
        <v>537</v>
      </c>
      <c r="AX6" s="98" t="s">
        <v>537</v>
      </c>
      <c r="AY6" s="98">
        <v>577.5895263765884</v>
      </c>
      <c r="AZ6" s="98" t="s">
        <v>537</v>
      </c>
      <c r="BA6" s="100" t="s">
        <v>537</v>
      </c>
      <c r="BB6" s="100" t="s">
        <v>537</v>
      </c>
      <c r="BC6" s="100" t="s">
        <v>537</v>
      </c>
      <c r="BD6" s="158" t="s">
        <v>537</v>
      </c>
      <c r="BE6" s="158" t="s">
        <v>537</v>
      </c>
      <c r="BF6" s="162">
        <v>109</v>
      </c>
      <c r="BG6" s="162" t="s">
        <v>537</v>
      </c>
      <c r="BH6" s="162">
        <v>504</v>
      </c>
      <c r="BI6" s="162">
        <v>66</v>
      </c>
      <c r="BJ6" s="162" t="s">
        <v>537</v>
      </c>
      <c r="BK6" s="97"/>
      <c r="BL6" s="97"/>
      <c r="BM6" s="97"/>
      <c r="BN6" s="97"/>
    </row>
    <row r="7" spans="1:66" ht="12.75">
      <c r="A7" s="79" t="s">
        <v>519</v>
      </c>
      <c r="B7" s="79" t="s">
        <v>302</v>
      </c>
      <c r="C7" s="79" t="s">
        <v>98</v>
      </c>
      <c r="D7" s="99">
        <v>4326</v>
      </c>
      <c r="E7" s="99">
        <v>453</v>
      </c>
      <c r="F7" s="99" t="s">
        <v>332</v>
      </c>
      <c r="G7" s="99">
        <v>16</v>
      </c>
      <c r="H7" s="99" t="s">
        <v>537</v>
      </c>
      <c r="I7" s="99">
        <v>47</v>
      </c>
      <c r="J7" s="99">
        <v>253</v>
      </c>
      <c r="K7" s="99" t="s">
        <v>537</v>
      </c>
      <c r="L7" s="99">
        <v>871</v>
      </c>
      <c r="M7" s="99">
        <v>114</v>
      </c>
      <c r="N7" s="99">
        <v>48</v>
      </c>
      <c r="O7" s="99">
        <v>57</v>
      </c>
      <c r="P7" s="159">
        <v>57</v>
      </c>
      <c r="Q7" s="99" t="s">
        <v>537</v>
      </c>
      <c r="R7" s="99">
        <v>11</v>
      </c>
      <c r="S7" s="99">
        <v>9</v>
      </c>
      <c r="T7" s="99">
        <v>6</v>
      </c>
      <c r="U7" s="99" t="s">
        <v>537</v>
      </c>
      <c r="V7" s="99" t="s">
        <v>537</v>
      </c>
      <c r="W7" s="99">
        <v>15</v>
      </c>
      <c r="X7" s="99">
        <v>11</v>
      </c>
      <c r="Y7" s="99">
        <v>37</v>
      </c>
      <c r="Z7" s="99">
        <v>37</v>
      </c>
      <c r="AA7" s="99" t="s">
        <v>537</v>
      </c>
      <c r="AB7" s="99" t="s">
        <v>537</v>
      </c>
      <c r="AC7" s="99" t="s">
        <v>537</v>
      </c>
      <c r="AD7" s="98" t="s">
        <v>312</v>
      </c>
      <c r="AE7" s="100">
        <v>0.10471567267683772</v>
      </c>
      <c r="AF7" s="100">
        <v>0.2</v>
      </c>
      <c r="AG7" s="98">
        <v>369.8566805362922</v>
      </c>
      <c r="AH7" s="98" t="s">
        <v>537</v>
      </c>
      <c r="AI7" s="100">
        <v>0.011000000000000001</v>
      </c>
      <c r="AJ7" s="100">
        <v>0.674667</v>
      </c>
      <c r="AK7" s="100" t="s">
        <v>537</v>
      </c>
      <c r="AL7" s="100">
        <v>0.802026</v>
      </c>
      <c r="AM7" s="100">
        <v>0.401408</v>
      </c>
      <c r="AN7" s="100">
        <v>0.384</v>
      </c>
      <c r="AO7" s="98">
        <v>1317.614424410541</v>
      </c>
      <c r="AP7" s="158">
        <v>0.9089730835000001</v>
      </c>
      <c r="AQ7" s="100" t="s">
        <v>537</v>
      </c>
      <c r="AR7" s="100" t="s">
        <v>537</v>
      </c>
      <c r="AS7" s="98">
        <v>208.04438280166437</v>
      </c>
      <c r="AT7" s="98">
        <v>138.69625520110958</v>
      </c>
      <c r="AU7" s="98" t="s">
        <v>537</v>
      </c>
      <c r="AV7" s="98" t="s">
        <v>537</v>
      </c>
      <c r="AW7" s="98">
        <v>346.74063800277395</v>
      </c>
      <c r="AX7" s="98">
        <v>254.27646786870088</v>
      </c>
      <c r="AY7" s="98">
        <v>855.2935737401757</v>
      </c>
      <c r="AZ7" s="98">
        <v>855.2935737401757</v>
      </c>
      <c r="BA7" s="100" t="s">
        <v>537</v>
      </c>
      <c r="BB7" s="100" t="s">
        <v>537</v>
      </c>
      <c r="BC7" s="100" t="s">
        <v>537</v>
      </c>
      <c r="BD7" s="158">
        <v>0.6884473419</v>
      </c>
      <c r="BE7" s="158">
        <v>1.177680054</v>
      </c>
      <c r="BF7" s="162">
        <v>375</v>
      </c>
      <c r="BG7" s="162" t="s">
        <v>537</v>
      </c>
      <c r="BH7" s="162">
        <v>1086</v>
      </c>
      <c r="BI7" s="162">
        <v>284</v>
      </c>
      <c r="BJ7" s="162">
        <v>125</v>
      </c>
      <c r="BK7" s="97"/>
      <c r="BL7" s="97"/>
      <c r="BM7" s="97"/>
      <c r="BN7" s="97"/>
    </row>
    <row r="8" spans="1:66" ht="12.75">
      <c r="A8" s="79" t="s">
        <v>525</v>
      </c>
      <c r="B8" s="79" t="s">
        <v>309</v>
      </c>
      <c r="C8" s="79" t="s">
        <v>98</v>
      </c>
      <c r="D8" s="99">
        <v>2239</v>
      </c>
      <c r="E8" s="99">
        <v>148</v>
      </c>
      <c r="F8" s="99" t="s">
        <v>335</v>
      </c>
      <c r="G8" s="99" t="s">
        <v>537</v>
      </c>
      <c r="H8" s="99" t="s">
        <v>537</v>
      </c>
      <c r="I8" s="99">
        <v>23</v>
      </c>
      <c r="J8" s="99">
        <v>91</v>
      </c>
      <c r="K8" s="99">
        <v>78</v>
      </c>
      <c r="L8" s="99">
        <v>418</v>
      </c>
      <c r="M8" s="99">
        <v>41</v>
      </c>
      <c r="N8" s="99">
        <v>23</v>
      </c>
      <c r="O8" s="99">
        <v>36</v>
      </c>
      <c r="P8" s="159">
        <v>36</v>
      </c>
      <c r="Q8" s="99" t="s">
        <v>537</v>
      </c>
      <c r="R8" s="99" t="s">
        <v>537</v>
      </c>
      <c r="S8" s="99" t="s">
        <v>537</v>
      </c>
      <c r="T8" s="99">
        <v>11</v>
      </c>
      <c r="U8" s="99" t="s">
        <v>537</v>
      </c>
      <c r="V8" s="99" t="s">
        <v>537</v>
      </c>
      <c r="W8" s="99" t="s">
        <v>537</v>
      </c>
      <c r="X8" s="99">
        <v>8</v>
      </c>
      <c r="Y8" s="99">
        <v>8</v>
      </c>
      <c r="Z8" s="99">
        <v>7</v>
      </c>
      <c r="AA8" s="99" t="s">
        <v>537</v>
      </c>
      <c r="AB8" s="99" t="s">
        <v>537</v>
      </c>
      <c r="AC8" s="99" t="s">
        <v>537</v>
      </c>
      <c r="AD8" s="98" t="s">
        <v>312</v>
      </c>
      <c r="AE8" s="100">
        <v>0.06610093791871371</v>
      </c>
      <c r="AF8" s="100">
        <v>0.17</v>
      </c>
      <c r="AG8" s="98" t="s">
        <v>537</v>
      </c>
      <c r="AH8" s="98" t="s">
        <v>537</v>
      </c>
      <c r="AI8" s="100">
        <v>0.01</v>
      </c>
      <c r="AJ8" s="100">
        <v>0.739837</v>
      </c>
      <c r="AK8" s="100">
        <v>0.666667</v>
      </c>
      <c r="AL8" s="100">
        <v>0.779851</v>
      </c>
      <c r="AM8" s="100">
        <v>0.42268</v>
      </c>
      <c r="AN8" s="100">
        <v>0.5</v>
      </c>
      <c r="AO8" s="98">
        <v>1607.86065207682</v>
      </c>
      <c r="AP8" s="158">
        <v>1.35701889</v>
      </c>
      <c r="AQ8" s="100" t="s">
        <v>537</v>
      </c>
      <c r="AR8" s="100" t="s">
        <v>537</v>
      </c>
      <c r="AS8" s="98" t="s">
        <v>537</v>
      </c>
      <c r="AT8" s="98">
        <v>491.29075480125056</v>
      </c>
      <c r="AU8" s="98" t="s">
        <v>537</v>
      </c>
      <c r="AV8" s="98" t="s">
        <v>537</v>
      </c>
      <c r="AW8" s="98" t="s">
        <v>537</v>
      </c>
      <c r="AX8" s="98">
        <v>357.3023671281822</v>
      </c>
      <c r="AY8" s="98">
        <v>357.3023671281822</v>
      </c>
      <c r="AZ8" s="98">
        <v>312.63957123715943</v>
      </c>
      <c r="BA8" s="101" t="s">
        <v>537</v>
      </c>
      <c r="BB8" s="101" t="s">
        <v>537</v>
      </c>
      <c r="BC8" s="101" t="s">
        <v>537</v>
      </c>
      <c r="BD8" s="158">
        <v>0.9504393768</v>
      </c>
      <c r="BE8" s="158">
        <v>1.878686218</v>
      </c>
      <c r="BF8" s="162">
        <v>123</v>
      </c>
      <c r="BG8" s="162">
        <v>117</v>
      </c>
      <c r="BH8" s="162">
        <v>536</v>
      </c>
      <c r="BI8" s="162">
        <v>97</v>
      </c>
      <c r="BJ8" s="162">
        <v>46</v>
      </c>
      <c r="BK8" s="97"/>
      <c r="BL8" s="97"/>
      <c r="BM8" s="97"/>
      <c r="BN8" s="97"/>
    </row>
    <row r="9" spans="1:66" ht="12.75">
      <c r="A9" s="79" t="s">
        <v>503</v>
      </c>
      <c r="B9" s="79" t="s">
        <v>286</v>
      </c>
      <c r="C9" s="79" t="s">
        <v>98</v>
      </c>
      <c r="D9" s="99">
        <v>12165</v>
      </c>
      <c r="E9" s="99">
        <v>1251</v>
      </c>
      <c r="F9" s="99" t="s">
        <v>332</v>
      </c>
      <c r="G9" s="99">
        <v>46</v>
      </c>
      <c r="H9" s="99">
        <v>20</v>
      </c>
      <c r="I9" s="99">
        <v>145</v>
      </c>
      <c r="J9" s="99">
        <v>622</v>
      </c>
      <c r="K9" s="99" t="s">
        <v>537</v>
      </c>
      <c r="L9" s="99">
        <v>1600</v>
      </c>
      <c r="M9" s="99">
        <v>391</v>
      </c>
      <c r="N9" s="99">
        <v>195</v>
      </c>
      <c r="O9" s="99">
        <v>149</v>
      </c>
      <c r="P9" s="159">
        <v>149</v>
      </c>
      <c r="Q9" s="99">
        <v>8</v>
      </c>
      <c r="R9" s="99">
        <v>28</v>
      </c>
      <c r="S9" s="99">
        <v>23</v>
      </c>
      <c r="T9" s="99">
        <v>29</v>
      </c>
      <c r="U9" s="99">
        <v>15</v>
      </c>
      <c r="V9" s="99">
        <v>29</v>
      </c>
      <c r="W9" s="99">
        <v>42</v>
      </c>
      <c r="X9" s="99">
        <v>37</v>
      </c>
      <c r="Y9" s="99">
        <v>93</v>
      </c>
      <c r="Z9" s="99">
        <v>53</v>
      </c>
      <c r="AA9" s="99" t="s">
        <v>537</v>
      </c>
      <c r="AB9" s="99" t="s">
        <v>537</v>
      </c>
      <c r="AC9" s="99" t="s">
        <v>537</v>
      </c>
      <c r="AD9" s="98" t="s">
        <v>312</v>
      </c>
      <c r="AE9" s="100">
        <v>0.10283600493218249</v>
      </c>
      <c r="AF9" s="100">
        <v>0.21</v>
      </c>
      <c r="AG9" s="98">
        <v>378.13399095766545</v>
      </c>
      <c r="AH9" s="98">
        <v>164.40608302507192</v>
      </c>
      <c r="AI9" s="100">
        <v>0.012</v>
      </c>
      <c r="AJ9" s="100">
        <v>0.713303</v>
      </c>
      <c r="AK9" s="100" t="s">
        <v>537</v>
      </c>
      <c r="AL9" s="100">
        <v>0.582242</v>
      </c>
      <c r="AM9" s="100">
        <v>0.503218</v>
      </c>
      <c r="AN9" s="100">
        <v>0.541667</v>
      </c>
      <c r="AO9" s="98">
        <v>1224.825318536786</v>
      </c>
      <c r="AP9" s="158">
        <v>0.8772854614000001</v>
      </c>
      <c r="AQ9" s="100">
        <v>0.053691275167785234</v>
      </c>
      <c r="AR9" s="100">
        <v>0.2857142857142857</v>
      </c>
      <c r="AS9" s="98">
        <v>189.06699547883272</v>
      </c>
      <c r="AT9" s="98">
        <v>238.3888203863543</v>
      </c>
      <c r="AU9" s="98">
        <v>123.30456226880395</v>
      </c>
      <c r="AV9" s="98">
        <v>238.3888203863543</v>
      </c>
      <c r="AW9" s="98">
        <v>345.25277435265104</v>
      </c>
      <c r="AX9" s="98">
        <v>304.15125359638307</v>
      </c>
      <c r="AY9" s="98">
        <v>764.4882860665845</v>
      </c>
      <c r="AZ9" s="98">
        <v>435.6761200164406</v>
      </c>
      <c r="BA9" s="100" t="s">
        <v>537</v>
      </c>
      <c r="BB9" s="100" t="s">
        <v>537</v>
      </c>
      <c r="BC9" s="100" t="s">
        <v>537</v>
      </c>
      <c r="BD9" s="158">
        <v>0.7420796204</v>
      </c>
      <c r="BE9" s="158">
        <v>1.029999313</v>
      </c>
      <c r="BF9" s="162">
        <v>872</v>
      </c>
      <c r="BG9" s="162" t="s">
        <v>537</v>
      </c>
      <c r="BH9" s="162">
        <v>2748</v>
      </c>
      <c r="BI9" s="162">
        <v>777</v>
      </c>
      <c r="BJ9" s="162">
        <v>360</v>
      </c>
      <c r="BK9" s="97"/>
      <c r="BL9" s="97"/>
      <c r="BM9" s="97"/>
      <c r="BN9" s="97"/>
    </row>
    <row r="10" spans="1:66" ht="12.75">
      <c r="A10" s="79" t="s">
        <v>499</v>
      </c>
      <c r="B10" s="79" t="s">
        <v>282</v>
      </c>
      <c r="C10" s="79" t="s">
        <v>98</v>
      </c>
      <c r="D10" s="99">
        <v>2914</v>
      </c>
      <c r="E10" s="99">
        <v>296</v>
      </c>
      <c r="F10" s="99" t="s">
        <v>332</v>
      </c>
      <c r="G10" s="99">
        <v>8</v>
      </c>
      <c r="H10" s="99" t="s">
        <v>537</v>
      </c>
      <c r="I10" s="99">
        <v>26</v>
      </c>
      <c r="J10" s="99">
        <v>132</v>
      </c>
      <c r="K10" s="99" t="s">
        <v>537</v>
      </c>
      <c r="L10" s="99">
        <v>524</v>
      </c>
      <c r="M10" s="99">
        <v>61</v>
      </c>
      <c r="N10" s="99">
        <v>33</v>
      </c>
      <c r="O10" s="99" t="s">
        <v>537</v>
      </c>
      <c r="P10" s="159" t="s">
        <v>537</v>
      </c>
      <c r="Q10" s="99" t="s">
        <v>537</v>
      </c>
      <c r="R10" s="99" t="s">
        <v>537</v>
      </c>
      <c r="S10" s="99" t="s">
        <v>537</v>
      </c>
      <c r="T10" s="99" t="s">
        <v>537</v>
      </c>
      <c r="U10" s="99" t="s">
        <v>537</v>
      </c>
      <c r="V10" s="99" t="s">
        <v>537</v>
      </c>
      <c r="W10" s="99" t="s">
        <v>537</v>
      </c>
      <c r="X10" s="99">
        <v>9</v>
      </c>
      <c r="Y10" s="99">
        <v>25</v>
      </c>
      <c r="Z10" s="99">
        <v>10</v>
      </c>
      <c r="AA10" s="99" t="s">
        <v>537</v>
      </c>
      <c r="AB10" s="99" t="s">
        <v>537</v>
      </c>
      <c r="AC10" s="99" t="s">
        <v>537</v>
      </c>
      <c r="AD10" s="98" t="s">
        <v>312</v>
      </c>
      <c r="AE10" s="100">
        <v>0.10157858613589568</v>
      </c>
      <c r="AF10" s="100">
        <v>0.22</v>
      </c>
      <c r="AG10" s="98">
        <v>274.5367192862045</v>
      </c>
      <c r="AH10" s="98" t="s">
        <v>537</v>
      </c>
      <c r="AI10" s="100">
        <v>0.009000000000000001</v>
      </c>
      <c r="AJ10" s="100">
        <v>0.589286</v>
      </c>
      <c r="AK10" s="100" t="s">
        <v>537</v>
      </c>
      <c r="AL10" s="100">
        <v>0.72879</v>
      </c>
      <c r="AM10" s="100">
        <v>0.322751</v>
      </c>
      <c r="AN10" s="100">
        <v>0.370787</v>
      </c>
      <c r="AO10" s="98" t="s">
        <v>537</v>
      </c>
      <c r="AP10" s="158" t="s">
        <v>537</v>
      </c>
      <c r="AQ10" s="100" t="s">
        <v>537</v>
      </c>
      <c r="AR10" s="100" t="s">
        <v>537</v>
      </c>
      <c r="AS10" s="98" t="s">
        <v>537</v>
      </c>
      <c r="AT10" s="98" t="s">
        <v>537</v>
      </c>
      <c r="AU10" s="98" t="s">
        <v>537</v>
      </c>
      <c r="AV10" s="98" t="s">
        <v>537</v>
      </c>
      <c r="AW10" s="98" t="s">
        <v>537</v>
      </c>
      <c r="AX10" s="98">
        <v>308.8538091969801</v>
      </c>
      <c r="AY10" s="98">
        <v>857.9272477693892</v>
      </c>
      <c r="AZ10" s="98">
        <v>343.17089910775564</v>
      </c>
      <c r="BA10" s="100" t="s">
        <v>537</v>
      </c>
      <c r="BB10" s="100" t="s">
        <v>537</v>
      </c>
      <c r="BC10" s="100" t="s">
        <v>537</v>
      </c>
      <c r="BD10" s="158" t="s">
        <v>537</v>
      </c>
      <c r="BE10" s="158" t="s">
        <v>537</v>
      </c>
      <c r="BF10" s="162">
        <v>224</v>
      </c>
      <c r="BG10" s="162" t="s">
        <v>537</v>
      </c>
      <c r="BH10" s="162">
        <v>719</v>
      </c>
      <c r="BI10" s="162">
        <v>189</v>
      </c>
      <c r="BJ10" s="162">
        <v>89</v>
      </c>
      <c r="BK10" s="97"/>
      <c r="BL10" s="97"/>
      <c r="BM10" s="97"/>
      <c r="BN10" s="97"/>
    </row>
    <row r="11" spans="1:66" ht="12.75">
      <c r="A11" s="79" t="s">
        <v>505</v>
      </c>
      <c r="B11" s="79" t="s">
        <v>288</v>
      </c>
      <c r="C11" s="79" t="s">
        <v>98</v>
      </c>
      <c r="D11" s="99">
        <v>11924</v>
      </c>
      <c r="E11" s="99">
        <v>1781</v>
      </c>
      <c r="F11" s="99" t="s">
        <v>332</v>
      </c>
      <c r="G11" s="99">
        <v>42</v>
      </c>
      <c r="H11" s="99">
        <v>22</v>
      </c>
      <c r="I11" s="99">
        <v>146</v>
      </c>
      <c r="J11" s="99">
        <v>995</v>
      </c>
      <c r="K11" s="99">
        <v>961</v>
      </c>
      <c r="L11" s="99">
        <v>2197</v>
      </c>
      <c r="M11" s="99">
        <v>628</v>
      </c>
      <c r="N11" s="99">
        <v>346</v>
      </c>
      <c r="O11" s="99">
        <v>100</v>
      </c>
      <c r="P11" s="159">
        <v>100</v>
      </c>
      <c r="Q11" s="99">
        <v>11</v>
      </c>
      <c r="R11" s="99">
        <v>34</v>
      </c>
      <c r="S11" s="99">
        <v>16</v>
      </c>
      <c r="T11" s="99">
        <v>13</v>
      </c>
      <c r="U11" s="99" t="s">
        <v>537</v>
      </c>
      <c r="V11" s="99">
        <v>14</v>
      </c>
      <c r="W11" s="99">
        <v>34</v>
      </c>
      <c r="X11" s="99">
        <v>47</v>
      </c>
      <c r="Y11" s="99">
        <v>99</v>
      </c>
      <c r="Z11" s="99">
        <v>64</v>
      </c>
      <c r="AA11" s="99" t="s">
        <v>537</v>
      </c>
      <c r="AB11" s="99" t="s">
        <v>537</v>
      </c>
      <c r="AC11" s="99" t="s">
        <v>537</v>
      </c>
      <c r="AD11" s="98" t="s">
        <v>312</v>
      </c>
      <c r="AE11" s="100">
        <v>0.14936262998993627</v>
      </c>
      <c r="AF11" s="100">
        <v>0.18</v>
      </c>
      <c r="AG11" s="98">
        <v>352.2307950352231</v>
      </c>
      <c r="AH11" s="98">
        <v>184.50184501845018</v>
      </c>
      <c r="AI11" s="100">
        <v>0.012</v>
      </c>
      <c r="AJ11" s="100">
        <v>0.766564</v>
      </c>
      <c r="AK11" s="100">
        <v>0.764519</v>
      </c>
      <c r="AL11" s="100">
        <v>0.767377</v>
      </c>
      <c r="AM11" s="100">
        <v>0.53356</v>
      </c>
      <c r="AN11" s="100">
        <v>0.583474</v>
      </c>
      <c r="AO11" s="98">
        <v>838.6447500838644</v>
      </c>
      <c r="AP11" s="158">
        <v>0.49436515810000004</v>
      </c>
      <c r="AQ11" s="100">
        <v>0.11</v>
      </c>
      <c r="AR11" s="100">
        <v>0.3235294117647059</v>
      </c>
      <c r="AS11" s="98">
        <v>134.1831600134183</v>
      </c>
      <c r="AT11" s="98">
        <v>109.02381751090238</v>
      </c>
      <c r="AU11" s="98" t="s">
        <v>537</v>
      </c>
      <c r="AV11" s="98">
        <v>117.41026501174103</v>
      </c>
      <c r="AW11" s="98">
        <v>285.13921502851395</v>
      </c>
      <c r="AX11" s="98">
        <v>394.1630325394163</v>
      </c>
      <c r="AY11" s="98">
        <v>830.2583025830259</v>
      </c>
      <c r="AZ11" s="98">
        <v>536.7326400536732</v>
      </c>
      <c r="BA11" s="100" t="s">
        <v>537</v>
      </c>
      <c r="BB11" s="100" t="s">
        <v>537</v>
      </c>
      <c r="BC11" s="100" t="s">
        <v>537</v>
      </c>
      <c r="BD11" s="158">
        <v>0.4022352219</v>
      </c>
      <c r="BE11" s="158">
        <v>0.6012805176</v>
      </c>
      <c r="BF11" s="162">
        <v>1298</v>
      </c>
      <c r="BG11" s="162">
        <v>1257</v>
      </c>
      <c r="BH11" s="162">
        <v>2863</v>
      </c>
      <c r="BI11" s="162">
        <v>1177</v>
      </c>
      <c r="BJ11" s="162">
        <v>593</v>
      </c>
      <c r="BK11" s="97"/>
      <c r="BL11" s="97"/>
      <c r="BM11" s="97"/>
      <c r="BN11" s="97"/>
    </row>
    <row r="12" spans="1:66" ht="12.75">
      <c r="A12" s="79" t="s">
        <v>514</v>
      </c>
      <c r="B12" s="79" t="s">
        <v>297</v>
      </c>
      <c r="C12" s="79" t="s">
        <v>98</v>
      </c>
      <c r="D12" s="99">
        <v>7921</v>
      </c>
      <c r="E12" s="99">
        <v>347</v>
      </c>
      <c r="F12" s="99" t="s">
        <v>333</v>
      </c>
      <c r="G12" s="99">
        <v>7</v>
      </c>
      <c r="H12" s="99" t="s">
        <v>537</v>
      </c>
      <c r="I12" s="99">
        <v>17</v>
      </c>
      <c r="J12" s="99">
        <v>247</v>
      </c>
      <c r="K12" s="99">
        <v>6</v>
      </c>
      <c r="L12" s="99">
        <v>1325</v>
      </c>
      <c r="M12" s="99">
        <v>68</v>
      </c>
      <c r="N12" s="99">
        <v>38</v>
      </c>
      <c r="O12" s="99">
        <v>34</v>
      </c>
      <c r="P12" s="159">
        <v>34</v>
      </c>
      <c r="Q12" s="99" t="s">
        <v>537</v>
      </c>
      <c r="R12" s="99">
        <v>6</v>
      </c>
      <c r="S12" s="99" t="s">
        <v>537</v>
      </c>
      <c r="T12" s="99" t="s">
        <v>537</v>
      </c>
      <c r="U12" s="99" t="s">
        <v>537</v>
      </c>
      <c r="V12" s="99" t="s">
        <v>537</v>
      </c>
      <c r="W12" s="99">
        <v>18</v>
      </c>
      <c r="X12" s="99">
        <v>12</v>
      </c>
      <c r="Y12" s="99">
        <v>58</v>
      </c>
      <c r="Z12" s="99">
        <v>15</v>
      </c>
      <c r="AA12" s="99" t="s">
        <v>537</v>
      </c>
      <c r="AB12" s="99" t="s">
        <v>537</v>
      </c>
      <c r="AC12" s="99" t="s">
        <v>537</v>
      </c>
      <c r="AD12" s="98" t="s">
        <v>312</v>
      </c>
      <c r="AE12" s="100">
        <v>0.04380760005049868</v>
      </c>
      <c r="AF12" s="100">
        <v>0.28</v>
      </c>
      <c r="AG12" s="98">
        <v>88.3726802171443</v>
      </c>
      <c r="AH12" s="98" t="s">
        <v>537</v>
      </c>
      <c r="AI12" s="100">
        <v>0.002</v>
      </c>
      <c r="AJ12" s="100">
        <v>0.600973</v>
      </c>
      <c r="AK12" s="100">
        <v>0.6</v>
      </c>
      <c r="AL12" s="100">
        <v>0.784953</v>
      </c>
      <c r="AM12" s="100">
        <v>0.274194</v>
      </c>
      <c r="AN12" s="100">
        <v>0.294574</v>
      </c>
      <c r="AO12" s="98">
        <v>429.2387324832723</v>
      </c>
      <c r="AP12" s="158">
        <v>0.4436924362</v>
      </c>
      <c r="AQ12" s="100" t="s">
        <v>537</v>
      </c>
      <c r="AR12" s="100" t="s">
        <v>537</v>
      </c>
      <c r="AS12" s="98" t="s">
        <v>537</v>
      </c>
      <c r="AT12" s="98" t="s">
        <v>537</v>
      </c>
      <c r="AU12" s="98" t="s">
        <v>537</v>
      </c>
      <c r="AV12" s="98" t="s">
        <v>537</v>
      </c>
      <c r="AW12" s="98">
        <v>227.24403484408535</v>
      </c>
      <c r="AX12" s="98">
        <v>151.49602322939023</v>
      </c>
      <c r="AY12" s="98">
        <v>732.2307789420528</v>
      </c>
      <c r="AZ12" s="98">
        <v>189.37002903673778</v>
      </c>
      <c r="BA12" s="100" t="s">
        <v>537</v>
      </c>
      <c r="BB12" s="100" t="s">
        <v>537</v>
      </c>
      <c r="BC12" s="100" t="s">
        <v>537</v>
      </c>
      <c r="BD12" s="158">
        <v>0.30726991649999996</v>
      </c>
      <c r="BE12" s="158">
        <v>0.6200157166</v>
      </c>
      <c r="BF12" s="162">
        <v>411</v>
      </c>
      <c r="BG12" s="162">
        <v>10</v>
      </c>
      <c r="BH12" s="162">
        <v>1688</v>
      </c>
      <c r="BI12" s="162">
        <v>248</v>
      </c>
      <c r="BJ12" s="162">
        <v>129</v>
      </c>
      <c r="BK12" s="97"/>
      <c r="BL12" s="97"/>
      <c r="BM12" s="97"/>
      <c r="BN12" s="97"/>
    </row>
    <row r="13" spans="1:66" ht="12.75">
      <c r="A13" s="79" t="s">
        <v>522</v>
      </c>
      <c r="B13" s="79" t="s">
        <v>306</v>
      </c>
      <c r="C13" s="79" t="s">
        <v>98</v>
      </c>
      <c r="D13" s="99">
        <v>1669</v>
      </c>
      <c r="E13" s="99">
        <v>312</v>
      </c>
      <c r="F13" s="99" t="s">
        <v>335</v>
      </c>
      <c r="G13" s="99">
        <v>6</v>
      </c>
      <c r="H13" s="99" t="s">
        <v>537</v>
      </c>
      <c r="I13" s="99">
        <v>22</v>
      </c>
      <c r="J13" s="99">
        <v>134</v>
      </c>
      <c r="K13" s="99" t="s">
        <v>537</v>
      </c>
      <c r="L13" s="99">
        <v>226</v>
      </c>
      <c r="M13" s="99">
        <v>88</v>
      </c>
      <c r="N13" s="99">
        <v>47</v>
      </c>
      <c r="O13" s="99" t="s">
        <v>537</v>
      </c>
      <c r="P13" s="159" t="s">
        <v>537</v>
      </c>
      <c r="Q13" s="99" t="s">
        <v>537</v>
      </c>
      <c r="R13" s="99">
        <v>6</v>
      </c>
      <c r="S13" s="99" t="s">
        <v>537</v>
      </c>
      <c r="T13" s="99" t="s">
        <v>537</v>
      </c>
      <c r="U13" s="99" t="s">
        <v>537</v>
      </c>
      <c r="V13" s="99" t="s">
        <v>537</v>
      </c>
      <c r="W13" s="99" t="s">
        <v>537</v>
      </c>
      <c r="X13" s="99">
        <v>6</v>
      </c>
      <c r="Y13" s="99">
        <v>10</v>
      </c>
      <c r="Z13" s="99" t="s">
        <v>537</v>
      </c>
      <c r="AA13" s="99" t="s">
        <v>537</v>
      </c>
      <c r="AB13" s="99" t="s">
        <v>537</v>
      </c>
      <c r="AC13" s="99" t="s">
        <v>537</v>
      </c>
      <c r="AD13" s="98" t="s">
        <v>312</v>
      </c>
      <c r="AE13" s="100">
        <v>0.18693828639904134</v>
      </c>
      <c r="AF13" s="100">
        <v>0.17</v>
      </c>
      <c r="AG13" s="98">
        <v>359.49670461354106</v>
      </c>
      <c r="AH13" s="98" t="s">
        <v>537</v>
      </c>
      <c r="AI13" s="100">
        <v>0.013000000000000001</v>
      </c>
      <c r="AJ13" s="100">
        <v>0.748603</v>
      </c>
      <c r="AK13" s="100" t="s">
        <v>537</v>
      </c>
      <c r="AL13" s="100">
        <v>0.782007</v>
      </c>
      <c r="AM13" s="100">
        <v>0.505747</v>
      </c>
      <c r="AN13" s="100">
        <v>0.580247</v>
      </c>
      <c r="AO13" s="98" t="s">
        <v>537</v>
      </c>
      <c r="AP13" s="158" t="s">
        <v>537</v>
      </c>
      <c r="AQ13" s="100" t="s">
        <v>537</v>
      </c>
      <c r="AR13" s="100" t="s">
        <v>537</v>
      </c>
      <c r="AS13" s="98" t="s">
        <v>537</v>
      </c>
      <c r="AT13" s="98" t="s">
        <v>537</v>
      </c>
      <c r="AU13" s="98" t="s">
        <v>537</v>
      </c>
      <c r="AV13" s="98" t="s">
        <v>537</v>
      </c>
      <c r="AW13" s="98" t="s">
        <v>537</v>
      </c>
      <c r="AX13" s="98">
        <v>359.49670461354106</v>
      </c>
      <c r="AY13" s="98">
        <v>599.1611743559017</v>
      </c>
      <c r="AZ13" s="98" t="s">
        <v>537</v>
      </c>
      <c r="BA13" s="100" t="s">
        <v>537</v>
      </c>
      <c r="BB13" s="100" t="s">
        <v>537</v>
      </c>
      <c r="BC13" s="100" t="s">
        <v>537</v>
      </c>
      <c r="BD13" s="158" t="s">
        <v>537</v>
      </c>
      <c r="BE13" s="158" t="s">
        <v>537</v>
      </c>
      <c r="BF13" s="162">
        <v>179</v>
      </c>
      <c r="BG13" s="162" t="s">
        <v>537</v>
      </c>
      <c r="BH13" s="162">
        <v>289</v>
      </c>
      <c r="BI13" s="162">
        <v>174</v>
      </c>
      <c r="BJ13" s="162">
        <v>81</v>
      </c>
      <c r="BK13" s="97"/>
      <c r="BL13" s="97"/>
      <c r="BM13" s="97"/>
      <c r="BN13" s="97"/>
    </row>
    <row r="14" spans="1:66" ht="12.75">
      <c r="A14" s="79" t="s">
        <v>510</v>
      </c>
      <c r="B14" s="79" t="s">
        <v>293</v>
      </c>
      <c r="C14" s="79" t="s">
        <v>98</v>
      </c>
      <c r="D14" s="99">
        <v>7269</v>
      </c>
      <c r="E14" s="99">
        <v>1293</v>
      </c>
      <c r="F14" s="99" t="s">
        <v>335</v>
      </c>
      <c r="G14" s="99">
        <v>33</v>
      </c>
      <c r="H14" s="99">
        <v>18</v>
      </c>
      <c r="I14" s="99">
        <v>158</v>
      </c>
      <c r="J14" s="99">
        <v>671</v>
      </c>
      <c r="K14" s="99">
        <v>8</v>
      </c>
      <c r="L14" s="99">
        <v>1429</v>
      </c>
      <c r="M14" s="99">
        <v>440</v>
      </c>
      <c r="N14" s="99">
        <v>223</v>
      </c>
      <c r="O14" s="99">
        <v>92</v>
      </c>
      <c r="P14" s="159">
        <v>92</v>
      </c>
      <c r="Q14" s="99">
        <v>13</v>
      </c>
      <c r="R14" s="99">
        <v>32</v>
      </c>
      <c r="S14" s="99">
        <v>7</v>
      </c>
      <c r="T14" s="99">
        <v>13</v>
      </c>
      <c r="U14" s="99">
        <v>8</v>
      </c>
      <c r="V14" s="99">
        <v>13</v>
      </c>
      <c r="W14" s="99">
        <v>32</v>
      </c>
      <c r="X14" s="99">
        <v>21</v>
      </c>
      <c r="Y14" s="99">
        <v>64</v>
      </c>
      <c r="Z14" s="99">
        <v>42</v>
      </c>
      <c r="AA14" s="99" t="s">
        <v>537</v>
      </c>
      <c r="AB14" s="99" t="s">
        <v>537</v>
      </c>
      <c r="AC14" s="99" t="s">
        <v>537</v>
      </c>
      <c r="AD14" s="98" t="s">
        <v>312</v>
      </c>
      <c r="AE14" s="100">
        <v>0.17787866281469253</v>
      </c>
      <c r="AF14" s="100">
        <v>0.12</v>
      </c>
      <c r="AG14" s="98">
        <v>453.9826661163846</v>
      </c>
      <c r="AH14" s="98">
        <v>247.62690879075527</v>
      </c>
      <c r="AI14" s="100">
        <v>0.022000000000000002</v>
      </c>
      <c r="AJ14" s="100">
        <v>0.75905</v>
      </c>
      <c r="AK14" s="100">
        <v>0.727273</v>
      </c>
      <c r="AL14" s="100">
        <v>0.788631</v>
      </c>
      <c r="AM14" s="100">
        <v>0.56266</v>
      </c>
      <c r="AN14" s="100">
        <v>0.593085</v>
      </c>
      <c r="AO14" s="98">
        <v>1265.6486449305269</v>
      </c>
      <c r="AP14" s="158">
        <v>0.6467220306</v>
      </c>
      <c r="AQ14" s="100">
        <v>0.14130434782608695</v>
      </c>
      <c r="AR14" s="100">
        <v>0.40625</v>
      </c>
      <c r="AS14" s="98">
        <v>96.29935341862705</v>
      </c>
      <c r="AT14" s="98">
        <v>178.84165634887881</v>
      </c>
      <c r="AU14" s="98">
        <v>110.05640390700233</v>
      </c>
      <c r="AV14" s="98">
        <v>178.84165634887881</v>
      </c>
      <c r="AW14" s="98">
        <v>440.22561562800934</v>
      </c>
      <c r="AX14" s="98">
        <v>288.89806025588115</v>
      </c>
      <c r="AY14" s="98">
        <v>880.4512312560187</v>
      </c>
      <c r="AZ14" s="98">
        <v>577.7961205117623</v>
      </c>
      <c r="BA14" s="100" t="s">
        <v>537</v>
      </c>
      <c r="BB14" s="100" t="s">
        <v>537</v>
      </c>
      <c r="BC14" s="100" t="s">
        <v>537</v>
      </c>
      <c r="BD14" s="158">
        <v>0.5213492203</v>
      </c>
      <c r="BE14" s="158">
        <v>0.7931471252</v>
      </c>
      <c r="BF14" s="162">
        <v>884</v>
      </c>
      <c r="BG14" s="162">
        <v>11</v>
      </c>
      <c r="BH14" s="162">
        <v>1812</v>
      </c>
      <c r="BI14" s="162">
        <v>782</v>
      </c>
      <c r="BJ14" s="162">
        <v>376</v>
      </c>
      <c r="BK14" s="97"/>
      <c r="BL14" s="97"/>
      <c r="BM14" s="97"/>
      <c r="BN14" s="97"/>
    </row>
    <row r="15" spans="1:66" ht="12.75">
      <c r="A15" s="79" t="s">
        <v>504</v>
      </c>
      <c r="B15" s="79" t="s">
        <v>287</v>
      </c>
      <c r="C15" s="79" t="s">
        <v>98</v>
      </c>
      <c r="D15" s="99">
        <v>6779</v>
      </c>
      <c r="E15" s="99">
        <v>687</v>
      </c>
      <c r="F15" s="99" t="s">
        <v>332</v>
      </c>
      <c r="G15" s="99">
        <v>15</v>
      </c>
      <c r="H15" s="99">
        <v>15</v>
      </c>
      <c r="I15" s="99">
        <v>45</v>
      </c>
      <c r="J15" s="99">
        <v>444</v>
      </c>
      <c r="K15" s="99">
        <v>376</v>
      </c>
      <c r="L15" s="99">
        <v>1050</v>
      </c>
      <c r="M15" s="99">
        <v>180</v>
      </c>
      <c r="N15" s="99">
        <v>93</v>
      </c>
      <c r="O15" s="99">
        <v>39</v>
      </c>
      <c r="P15" s="159">
        <v>39</v>
      </c>
      <c r="Q15" s="99">
        <v>6</v>
      </c>
      <c r="R15" s="99">
        <v>17</v>
      </c>
      <c r="S15" s="99">
        <v>9</v>
      </c>
      <c r="T15" s="99">
        <v>8</v>
      </c>
      <c r="U15" s="99" t="s">
        <v>537</v>
      </c>
      <c r="V15" s="99">
        <v>10</v>
      </c>
      <c r="W15" s="99">
        <v>21</v>
      </c>
      <c r="X15" s="99">
        <v>11</v>
      </c>
      <c r="Y15" s="99">
        <v>57</v>
      </c>
      <c r="Z15" s="99">
        <v>20</v>
      </c>
      <c r="AA15" s="99" t="s">
        <v>537</v>
      </c>
      <c r="AB15" s="99" t="s">
        <v>537</v>
      </c>
      <c r="AC15" s="99" t="s">
        <v>537</v>
      </c>
      <c r="AD15" s="98" t="s">
        <v>312</v>
      </c>
      <c r="AE15" s="100">
        <v>0.10134238088213601</v>
      </c>
      <c r="AF15" s="100">
        <v>0.22</v>
      </c>
      <c r="AG15" s="98">
        <v>221.2715739784629</v>
      </c>
      <c r="AH15" s="98">
        <v>221.2715739784629</v>
      </c>
      <c r="AI15" s="100">
        <v>0.006999999999999999</v>
      </c>
      <c r="AJ15" s="100">
        <v>0.78169</v>
      </c>
      <c r="AK15" s="100">
        <v>0.679928</v>
      </c>
      <c r="AL15" s="100">
        <v>0.631389</v>
      </c>
      <c r="AM15" s="100">
        <v>0.40724</v>
      </c>
      <c r="AN15" s="100">
        <v>0.438679</v>
      </c>
      <c r="AO15" s="98">
        <v>575.3060923440036</v>
      </c>
      <c r="AP15" s="158">
        <v>0.4049689102</v>
      </c>
      <c r="AQ15" s="100">
        <v>0.15384615384615385</v>
      </c>
      <c r="AR15" s="100">
        <v>0.35294117647058826</v>
      </c>
      <c r="AS15" s="98">
        <v>132.76294438707774</v>
      </c>
      <c r="AT15" s="98">
        <v>118.01150612184688</v>
      </c>
      <c r="AU15" s="98" t="s">
        <v>537</v>
      </c>
      <c r="AV15" s="98">
        <v>147.5143826523086</v>
      </c>
      <c r="AW15" s="98">
        <v>309.7802035698481</v>
      </c>
      <c r="AX15" s="98">
        <v>162.26582091753946</v>
      </c>
      <c r="AY15" s="98">
        <v>840.831981118159</v>
      </c>
      <c r="AZ15" s="98">
        <v>295.0287653046172</v>
      </c>
      <c r="BA15" s="100" t="s">
        <v>537</v>
      </c>
      <c r="BB15" s="100" t="s">
        <v>537</v>
      </c>
      <c r="BC15" s="100" t="s">
        <v>537</v>
      </c>
      <c r="BD15" s="158">
        <v>0.2879724884</v>
      </c>
      <c r="BE15" s="158">
        <v>0.5536058426</v>
      </c>
      <c r="BF15" s="162">
        <v>568</v>
      </c>
      <c r="BG15" s="162">
        <v>553</v>
      </c>
      <c r="BH15" s="162">
        <v>1663</v>
      </c>
      <c r="BI15" s="162">
        <v>442</v>
      </c>
      <c r="BJ15" s="162">
        <v>212</v>
      </c>
      <c r="BK15" s="97"/>
      <c r="BL15" s="97"/>
      <c r="BM15" s="97"/>
      <c r="BN15" s="97"/>
    </row>
    <row r="16" spans="1:66" ht="12.75">
      <c r="A16" s="79" t="s">
        <v>521</v>
      </c>
      <c r="B16" s="79" t="s">
        <v>305</v>
      </c>
      <c r="C16" s="79" t="s">
        <v>98</v>
      </c>
      <c r="D16" s="99">
        <v>1639</v>
      </c>
      <c r="E16" s="99">
        <v>111</v>
      </c>
      <c r="F16" s="99" t="s">
        <v>333</v>
      </c>
      <c r="G16" s="99" t="s">
        <v>537</v>
      </c>
      <c r="H16" s="99" t="s">
        <v>537</v>
      </c>
      <c r="I16" s="99">
        <v>4</v>
      </c>
      <c r="J16" s="99">
        <v>42</v>
      </c>
      <c r="K16" s="99">
        <v>34</v>
      </c>
      <c r="L16" s="99">
        <v>186</v>
      </c>
      <c r="M16" s="99">
        <v>7</v>
      </c>
      <c r="N16" s="99" t="s">
        <v>537</v>
      </c>
      <c r="O16" s="99" t="s">
        <v>537</v>
      </c>
      <c r="P16" s="159" t="s">
        <v>537</v>
      </c>
      <c r="Q16" s="99" t="s">
        <v>537</v>
      </c>
      <c r="R16" s="99" t="s">
        <v>537</v>
      </c>
      <c r="S16" s="99" t="s">
        <v>537</v>
      </c>
      <c r="T16" s="99" t="s">
        <v>537</v>
      </c>
      <c r="U16" s="99" t="s">
        <v>537</v>
      </c>
      <c r="V16" s="99" t="s">
        <v>537</v>
      </c>
      <c r="W16" s="99" t="s">
        <v>537</v>
      </c>
      <c r="X16" s="99" t="s">
        <v>537</v>
      </c>
      <c r="Y16" s="99">
        <v>8</v>
      </c>
      <c r="Z16" s="99">
        <v>7</v>
      </c>
      <c r="AA16" s="99" t="s">
        <v>537</v>
      </c>
      <c r="AB16" s="99" t="s">
        <v>537</v>
      </c>
      <c r="AC16" s="99" t="s">
        <v>537</v>
      </c>
      <c r="AD16" s="98" t="s">
        <v>312</v>
      </c>
      <c r="AE16" s="100">
        <v>0.0677242220866382</v>
      </c>
      <c r="AF16" s="100">
        <v>0.3</v>
      </c>
      <c r="AG16" s="98" t="s">
        <v>537</v>
      </c>
      <c r="AH16" s="98" t="s">
        <v>537</v>
      </c>
      <c r="AI16" s="100">
        <v>0.002</v>
      </c>
      <c r="AJ16" s="100">
        <v>0.583333</v>
      </c>
      <c r="AK16" s="100">
        <v>0.5</v>
      </c>
      <c r="AL16" s="100">
        <v>0.594249</v>
      </c>
      <c r="AM16" s="100">
        <v>0.127273</v>
      </c>
      <c r="AN16" s="100" t="s">
        <v>537</v>
      </c>
      <c r="AO16" s="98" t="s">
        <v>537</v>
      </c>
      <c r="AP16" s="158" t="s">
        <v>537</v>
      </c>
      <c r="AQ16" s="100" t="s">
        <v>537</v>
      </c>
      <c r="AR16" s="100" t="s">
        <v>537</v>
      </c>
      <c r="AS16" s="98" t="s">
        <v>537</v>
      </c>
      <c r="AT16" s="98" t="s">
        <v>537</v>
      </c>
      <c r="AU16" s="98" t="s">
        <v>537</v>
      </c>
      <c r="AV16" s="98" t="s">
        <v>537</v>
      </c>
      <c r="AW16" s="98" t="s">
        <v>537</v>
      </c>
      <c r="AX16" s="98" t="s">
        <v>537</v>
      </c>
      <c r="AY16" s="98">
        <v>488.1025015253203</v>
      </c>
      <c r="AZ16" s="98">
        <v>427.0896888346553</v>
      </c>
      <c r="BA16" s="100" t="s">
        <v>537</v>
      </c>
      <c r="BB16" s="100" t="s">
        <v>537</v>
      </c>
      <c r="BC16" s="100" t="s">
        <v>537</v>
      </c>
      <c r="BD16" s="158" t="s">
        <v>537</v>
      </c>
      <c r="BE16" s="158" t="s">
        <v>537</v>
      </c>
      <c r="BF16" s="162">
        <v>72</v>
      </c>
      <c r="BG16" s="162">
        <v>68</v>
      </c>
      <c r="BH16" s="162">
        <v>313</v>
      </c>
      <c r="BI16" s="162">
        <v>55</v>
      </c>
      <c r="BJ16" s="162" t="s">
        <v>537</v>
      </c>
      <c r="BK16" s="97"/>
      <c r="BL16" s="97"/>
      <c r="BM16" s="97"/>
      <c r="BN16" s="97"/>
    </row>
    <row r="17" spans="1:66" ht="12.75">
      <c r="A17" s="79" t="s">
        <v>520</v>
      </c>
      <c r="B17" s="79" t="s">
        <v>304</v>
      </c>
      <c r="C17" s="79" t="s">
        <v>98</v>
      </c>
      <c r="D17" s="99">
        <v>4793</v>
      </c>
      <c r="E17" s="99">
        <v>634</v>
      </c>
      <c r="F17" s="99" t="s">
        <v>335</v>
      </c>
      <c r="G17" s="99">
        <v>27</v>
      </c>
      <c r="H17" s="99">
        <v>12</v>
      </c>
      <c r="I17" s="99">
        <v>84</v>
      </c>
      <c r="J17" s="99">
        <v>404</v>
      </c>
      <c r="K17" s="99">
        <v>7</v>
      </c>
      <c r="L17" s="99">
        <v>926</v>
      </c>
      <c r="M17" s="99">
        <v>226</v>
      </c>
      <c r="N17" s="99">
        <v>119</v>
      </c>
      <c r="O17" s="99">
        <v>19</v>
      </c>
      <c r="P17" s="159">
        <v>19</v>
      </c>
      <c r="Q17" s="99" t="s">
        <v>537</v>
      </c>
      <c r="R17" s="99">
        <v>8</v>
      </c>
      <c r="S17" s="99" t="s">
        <v>537</v>
      </c>
      <c r="T17" s="99">
        <v>6</v>
      </c>
      <c r="U17" s="99" t="s">
        <v>537</v>
      </c>
      <c r="V17" s="99" t="s">
        <v>537</v>
      </c>
      <c r="W17" s="99">
        <v>20</v>
      </c>
      <c r="X17" s="99">
        <v>20</v>
      </c>
      <c r="Y17" s="99">
        <v>21</v>
      </c>
      <c r="Z17" s="99">
        <v>24</v>
      </c>
      <c r="AA17" s="99" t="s">
        <v>537</v>
      </c>
      <c r="AB17" s="99" t="s">
        <v>537</v>
      </c>
      <c r="AC17" s="99" t="s">
        <v>537</v>
      </c>
      <c r="AD17" s="98" t="s">
        <v>312</v>
      </c>
      <c r="AE17" s="100">
        <v>0.13227623617775924</v>
      </c>
      <c r="AF17" s="100">
        <v>0.13</v>
      </c>
      <c r="AG17" s="98">
        <v>563.3215105361986</v>
      </c>
      <c r="AH17" s="98">
        <v>250.36511579386607</v>
      </c>
      <c r="AI17" s="100">
        <v>0.018000000000000002</v>
      </c>
      <c r="AJ17" s="100">
        <v>0.733212</v>
      </c>
      <c r="AK17" s="100">
        <v>0.7</v>
      </c>
      <c r="AL17" s="100">
        <v>0.786078</v>
      </c>
      <c r="AM17" s="100">
        <v>0.498896</v>
      </c>
      <c r="AN17" s="100">
        <v>0.51073</v>
      </c>
      <c r="AO17" s="98">
        <v>396.41143334028794</v>
      </c>
      <c r="AP17" s="158">
        <v>0.23166091919999998</v>
      </c>
      <c r="AQ17" s="100" t="s">
        <v>537</v>
      </c>
      <c r="AR17" s="100" t="s">
        <v>537</v>
      </c>
      <c r="AS17" s="98" t="s">
        <v>537</v>
      </c>
      <c r="AT17" s="98">
        <v>125.18255789693303</v>
      </c>
      <c r="AU17" s="98" t="s">
        <v>537</v>
      </c>
      <c r="AV17" s="98" t="s">
        <v>537</v>
      </c>
      <c r="AW17" s="98">
        <v>417.27519298977677</v>
      </c>
      <c r="AX17" s="98">
        <v>417.27519298977677</v>
      </c>
      <c r="AY17" s="98">
        <v>438.1389526392656</v>
      </c>
      <c r="AZ17" s="98">
        <v>500.73023158773213</v>
      </c>
      <c r="BA17" s="100" t="s">
        <v>537</v>
      </c>
      <c r="BB17" s="100" t="s">
        <v>537</v>
      </c>
      <c r="BC17" s="100" t="s">
        <v>537</v>
      </c>
      <c r="BD17" s="158">
        <v>0.1394750118</v>
      </c>
      <c r="BE17" s="158">
        <v>0.3617672348</v>
      </c>
      <c r="BF17" s="162">
        <v>551</v>
      </c>
      <c r="BG17" s="162">
        <v>10</v>
      </c>
      <c r="BH17" s="162">
        <v>1178</v>
      </c>
      <c r="BI17" s="162">
        <v>453</v>
      </c>
      <c r="BJ17" s="162">
        <v>233</v>
      </c>
      <c r="BK17" s="97"/>
      <c r="BL17" s="97"/>
      <c r="BM17" s="97"/>
      <c r="BN17" s="97"/>
    </row>
    <row r="18" spans="1:66" ht="12.75">
      <c r="A18" s="79" t="s">
        <v>508</v>
      </c>
      <c r="B18" s="79" t="s">
        <v>291</v>
      </c>
      <c r="C18" s="79" t="s">
        <v>98</v>
      </c>
      <c r="D18" s="99">
        <v>10556</v>
      </c>
      <c r="E18" s="99">
        <v>776</v>
      </c>
      <c r="F18" s="99" t="s">
        <v>333</v>
      </c>
      <c r="G18" s="99">
        <v>21</v>
      </c>
      <c r="H18" s="99">
        <v>9</v>
      </c>
      <c r="I18" s="99">
        <v>63</v>
      </c>
      <c r="J18" s="99">
        <v>417</v>
      </c>
      <c r="K18" s="99">
        <v>10</v>
      </c>
      <c r="L18" s="99">
        <v>1647</v>
      </c>
      <c r="M18" s="99">
        <v>182</v>
      </c>
      <c r="N18" s="99">
        <v>100</v>
      </c>
      <c r="O18" s="99">
        <v>69</v>
      </c>
      <c r="P18" s="159">
        <v>69</v>
      </c>
      <c r="Q18" s="99" t="s">
        <v>537</v>
      </c>
      <c r="R18" s="99">
        <v>15</v>
      </c>
      <c r="S18" s="99">
        <v>6</v>
      </c>
      <c r="T18" s="99">
        <v>12</v>
      </c>
      <c r="U18" s="99" t="s">
        <v>537</v>
      </c>
      <c r="V18" s="99">
        <v>6</v>
      </c>
      <c r="W18" s="99">
        <v>28</v>
      </c>
      <c r="X18" s="99">
        <v>19</v>
      </c>
      <c r="Y18" s="99">
        <v>80</v>
      </c>
      <c r="Z18" s="99">
        <v>27</v>
      </c>
      <c r="AA18" s="99" t="s">
        <v>537</v>
      </c>
      <c r="AB18" s="99" t="s">
        <v>537</v>
      </c>
      <c r="AC18" s="99" t="s">
        <v>537</v>
      </c>
      <c r="AD18" s="98" t="s">
        <v>312</v>
      </c>
      <c r="AE18" s="100">
        <v>0.07351269420234938</v>
      </c>
      <c r="AF18" s="100">
        <v>0.25</v>
      </c>
      <c r="AG18" s="98">
        <v>198.9389920424403</v>
      </c>
      <c r="AH18" s="98">
        <v>85.2595680181887</v>
      </c>
      <c r="AI18" s="100">
        <v>0.006</v>
      </c>
      <c r="AJ18" s="100">
        <v>0.608759</v>
      </c>
      <c r="AK18" s="100">
        <v>0.625</v>
      </c>
      <c r="AL18" s="100">
        <v>0.678336</v>
      </c>
      <c r="AM18" s="100">
        <v>0.340187</v>
      </c>
      <c r="AN18" s="100">
        <v>0.392157</v>
      </c>
      <c r="AO18" s="98">
        <v>653.6566881394467</v>
      </c>
      <c r="AP18" s="158">
        <v>0.5472175217</v>
      </c>
      <c r="AQ18" s="100" t="s">
        <v>537</v>
      </c>
      <c r="AR18" s="100" t="s">
        <v>537</v>
      </c>
      <c r="AS18" s="98">
        <v>56.83971201212581</v>
      </c>
      <c r="AT18" s="98">
        <v>113.67942402425162</v>
      </c>
      <c r="AU18" s="98" t="s">
        <v>537</v>
      </c>
      <c r="AV18" s="98">
        <v>56.83971201212581</v>
      </c>
      <c r="AW18" s="98">
        <v>265.2519893899204</v>
      </c>
      <c r="AX18" s="98">
        <v>179.99242137173172</v>
      </c>
      <c r="AY18" s="98">
        <v>757.862826828344</v>
      </c>
      <c r="AZ18" s="98">
        <v>255.77870405456613</v>
      </c>
      <c r="BA18" s="100" t="s">
        <v>537</v>
      </c>
      <c r="BB18" s="100" t="s">
        <v>537</v>
      </c>
      <c r="BC18" s="100" t="s">
        <v>537</v>
      </c>
      <c r="BD18" s="158">
        <v>0.42576789859999997</v>
      </c>
      <c r="BE18" s="158">
        <v>0.6925388336</v>
      </c>
      <c r="BF18" s="162">
        <v>685</v>
      </c>
      <c r="BG18" s="162">
        <v>16</v>
      </c>
      <c r="BH18" s="162">
        <v>2428</v>
      </c>
      <c r="BI18" s="162">
        <v>535</v>
      </c>
      <c r="BJ18" s="162">
        <v>255</v>
      </c>
      <c r="BK18" s="97"/>
      <c r="BL18" s="97"/>
      <c r="BM18" s="97"/>
      <c r="BN18" s="97"/>
    </row>
    <row r="19" spans="1:66" ht="12.75">
      <c r="A19" s="79" t="s">
        <v>516</v>
      </c>
      <c r="B19" s="79" t="s">
        <v>299</v>
      </c>
      <c r="C19" s="79" t="s">
        <v>98</v>
      </c>
      <c r="D19" s="99">
        <v>5108</v>
      </c>
      <c r="E19" s="99">
        <v>300</v>
      </c>
      <c r="F19" s="99" t="s">
        <v>333</v>
      </c>
      <c r="G19" s="99" t="s">
        <v>537</v>
      </c>
      <c r="H19" s="99" t="s">
        <v>537</v>
      </c>
      <c r="I19" s="99">
        <v>22</v>
      </c>
      <c r="J19" s="99">
        <v>159</v>
      </c>
      <c r="K19" s="99" t="s">
        <v>537</v>
      </c>
      <c r="L19" s="99">
        <v>869</v>
      </c>
      <c r="M19" s="99">
        <v>47</v>
      </c>
      <c r="N19" s="99">
        <v>25</v>
      </c>
      <c r="O19" s="99" t="s">
        <v>537</v>
      </c>
      <c r="P19" s="159" t="s">
        <v>537</v>
      </c>
      <c r="Q19" s="99" t="s">
        <v>537</v>
      </c>
      <c r="R19" s="99">
        <v>6</v>
      </c>
      <c r="S19" s="99" t="s">
        <v>537</v>
      </c>
      <c r="T19" s="99" t="s">
        <v>537</v>
      </c>
      <c r="U19" s="99" t="s">
        <v>537</v>
      </c>
      <c r="V19" s="99" t="s">
        <v>537</v>
      </c>
      <c r="W19" s="99">
        <v>10</v>
      </c>
      <c r="X19" s="99">
        <v>12</v>
      </c>
      <c r="Y19" s="99">
        <v>24</v>
      </c>
      <c r="Z19" s="99">
        <v>7</v>
      </c>
      <c r="AA19" s="99" t="s">
        <v>537</v>
      </c>
      <c r="AB19" s="99" t="s">
        <v>537</v>
      </c>
      <c r="AC19" s="99" t="s">
        <v>537</v>
      </c>
      <c r="AD19" s="98" t="s">
        <v>312</v>
      </c>
      <c r="AE19" s="100">
        <v>0.058731401722787784</v>
      </c>
      <c r="AF19" s="100">
        <v>0.28</v>
      </c>
      <c r="AG19" s="98" t="s">
        <v>537</v>
      </c>
      <c r="AH19" s="98" t="s">
        <v>537</v>
      </c>
      <c r="AI19" s="100">
        <v>0.004</v>
      </c>
      <c r="AJ19" s="100">
        <v>0.495327</v>
      </c>
      <c r="AK19" s="100" t="s">
        <v>537</v>
      </c>
      <c r="AL19" s="100">
        <v>0.737691</v>
      </c>
      <c r="AM19" s="100">
        <v>0.207048</v>
      </c>
      <c r="AN19" s="100">
        <v>0.257732</v>
      </c>
      <c r="AO19" s="98" t="s">
        <v>537</v>
      </c>
      <c r="AP19" s="158" t="s">
        <v>537</v>
      </c>
      <c r="AQ19" s="100" t="s">
        <v>537</v>
      </c>
      <c r="AR19" s="100" t="s">
        <v>537</v>
      </c>
      <c r="AS19" s="98" t="s">
        <v>537</v>
      </c>
      <c r="AT19" s="98" t="s">
        <v>537</v>
      </c>
      <c r="AU19" s="98" t="s">
        <v>537</v>
      </c>
      <c r="AV19" s="98" t="s">
        <v>537</v>
      </c>
      <c r="AW19" s="98">
        <v>195.77133907595928</v>
      </c>
      <c r="AX19" s="98">
        <v>234.92560689115115</v>
      </c>
      <c r="AY19" s="98">
        <v>469.8512137823023</v>
      </c>
      <c r="AZ19" s="98">
        <v>137.0399373531715</v>
      </c>
      <c r="BA19" s="100" t="s">
        <v>537</v>
      </c>
      <c r="BB19" s="100" t="s">
        <v>537</v>
      </c>
      <c r="BC19" s="100" t="s">
        <v>537</v>
      </c>
      <c r="BD19" s="158" t="s">
        <v>537</v>
      </c>
      <c r="BE19" s="158" t="s">
        <v>537</v>
      </c>
      <c r="BF19" s="162">
        <v>321</v>
      </c>
      <c r="BG19" s="162" t="s">
        <v>537</v>
      </c>
      <c r="BH19" s="162">
        <v>1178</v>
      </c>
      <c r="BI19" s="162">
        <v>227</v>
      </c>
      <c r="BJ19" s="162">
        <v>97</v>
      </c>
      <c r="BK19" s="97"/>
      <c r="BL19" s="97"/>
      <c r="BM19" s="97"/>
      <c r="BN19" s="97"/>
    </row>
    <row r="20" spans="1:66" ht="12.75">
      <c r="A20" s="79" t="s">
        <v>501</v>
      </c>
      <c r="B20" s="79" t="s">
        <v>284</v>
      </c>
      <c r="C20" s="79" t="s">
        <v>98</v>
      </c>
      <c r="D20" s="99">
        <v>9323</v>
      </c>
      <c r="E20" s="99">
        <v>1612</v>
      </c>
      <c r="F20" s="99" t="s">
        <v>335</v>
      </c>
      <c r="G20" s="99">
        <v>45</v>
      </c>
      <c r="H20" s="99">
        <v>21</v>
      </c>
      <c r="I20" s="99">
        <v>171</v>
      </c>
      <c r="J20" s="99">
        <v>891</v>
      </c>
      <c r="K20" s="99">
        <v>552</v>
      </c>
      <c r="L20" s="99">
        <v>2053</v>
      </c>
      <c r="M20" s="99">
        <v>597</v>
      </c>
      <c r="N20" s="99">
        <v>310</v>
      </c>
      <c r="O20" s="99">
        <v>129</v>
      </c>
      <c r="P20" s="159">
        <v>129</v>
      </c>
      <c r="Q20" s="99">
        <v>22</v>
      </c>
      <c r="R20" s="99">
        <v>49</v>
      </c>
      <c r="S20" s="99">
        <v>25</v>
      </c>
      <c r="T20" s="99">
        <v>22</v>
      </c>
      <c r="U20" s="99" t="s">
        <v>537</v>
      </c>
      <c r="V20" s="99">
        <v>24</v>
      </c>
      <c r="W20" s="99">
        <v>50</v>
      </c>
      <c r="X20" s="99">
        <v>34</v>
      </c>
      <c r="Y20" s="99">
        <v>64</v>
      </c>
      <c r="Z20" s="99">
        <v>72</v>
      </c>
      <c r="AA20" s="99" t="s">
        <v>537</v>
      </c>
      <c r="AB20" s="99" t="s">
        <v>537</v>
      </c>
      <c r="AC20" s="99" t="s">
        <v>537</v>
      </c>
      <c r="AD20" s="98" t="s">
        <v>312</v>
      </c>
      <c r="AE20" s="100">
        <v>0.17290571704387</v>
      </c>
      <c r="AF20" s="100">
        <v>0.13</v>
      </c>
      <c r="AG20" s="98">
        <v>482.6772498122922</v>
      </c>
      <c r="AH20" s="98">
        <v>225.24938324573634</v>
      </c>
      <c r="AI20" s="100">
        <v>0.018000000000000002</v>
      </c>
      <c r="AJ20" s="100">
        <v>0.818182</v>
      </c>
      <c r="AK20" s="100">
        <v>0.725361</v>
      </c>
      <c r="AL20" s="100">
        <v>0.879606</v>
      </c>
      <c r="AM20" s="100">
        <v>0.584721</v>
      </c>
      <c r="AN20" s="100">
        <v>0.612648</v>
      </c>
      <c r="AO20" s="98">
        <v>1383.6747827952377</v>
      </c>
      <c r="AP20" s="158">
        <v>0.7247436523</v>
      </c>
      <c r="AQ20" s="100">
        <v>0.17054263565891473</v>
      </c>
      <c r="AR20" s="100">
        <v>0.4489795918367347</v>
      </c>
      <c r="AS20" s="98">
        <v>268.15402767349565</v>
      </c>
      <c r="AT20" s="98">
        <v>235.97554435267617</v>
      </c>
      <c r="AU20" s="98" t="s">
        <v>537</v>
      </c>
      <c r="AV20" s="98">
        <v>257.42786656655585</v>
      </c>
      <c r="AW20" s="98">
        <v>536.3080553469913</v>
      </c>
      <c r="AX20" s="98">
        <v>364.6894776359541</v>
      </c>
      <c r="AY20" s="98">
        <v>686.4743108441489</v>
      </c>
      <c r="AZ20" s="98">
        <v>772.2835996996674</v>
      </c>
      <c r="BA20" s="100" t="s">
        <v>537</v>
      </c>
      <c r="BB20" s="100" t="s">
        <v>537</v>
      </c>
      <c r="BC20" s="100" t="s">
        <v>537</v>
      </c>
      <c r="BD20" s="158">
        <v>0.6050813293</v>
      </c>
      <c r="BE20" s="158">
        <v>0.8611448669</v>
      </c>
      <c r="BF20" s="162">
        <v>1089</v>
      </c>
      <c r="BG20" s="162">
        <v>761</v>
      </c>
      <c r="BH20" s="162">
        <v>2334</v>
      </c>
      <c r="BI20" s="162">
        <v>1021</v>
      </c>
      <c r="BJ20" s="162">
        <v>506</v>
      </c>
      <c r="BK20" s="97"/>
      <c r="BL20" s="97"/>
      <c r="BM20" s="97"/>
      <c r="BN20" s="97"/>
    </row>
    <row r="21" spans="1:66" ht="12.75">
      <c r="A21" s="79" t="s">
        <v>500</v>
      </c>
      <c r="B21" s="79" t="s">
        <v>283</v>
      </c>
      <c r="C21" s="79" t="s">
        <v>98</v>
      </c>
      <c r="D21" s="99">
        <v>9339</v>
      </c>
      <c r="E21" s="99">
        <v>1562</v>
      </c>
      <c r="F21" s="99" t="s">
        <v>332</v>
      </c>
      <c r="G21" s="99">
        <v>48</v>
      </c>
      <c r="H21" s="99">
        <v>21</v>
      </c>
      <c r="I21" s="99">
        <v>138</v>
      </c>
      <c r="J21" s="99">
        <v>724</v>
      </c>
      <c r="K21" s="99">
        <v>686</v>
      </c>
      <c r="L21" s="99">
        <v>1625</v>
      </c>
      <c r="M21" s="99">
        <v>414</v>
      </c>
      <c r="N21" s="99">
        <v>213</v>
      </c>
      <c r="O21" s="99">
        <v>97</v>
      </c>
      <c r="P21" s="159">
        <v>97</v>
      </c>
      <c r="Q21" s="99">
        <v>13</v>
      </c>
      <c r="R21" s="99">
        <v>40</v>
      </c>
      <c r="S21" s="99">
        <v>19</v>
      </c>
      <c r="T21" s="99">
        <v>15</v>
      </c>
      <c r="U21" s="99">
        <v>6</v>
      </c>
      <c r="V21" s="99">
        <v>15</v>
      </c>
      <c r="W21" s="99">
        <v>35</v>
      </c>
      <c r="X21" s="99">
        <v>45</v>
      </c>
      <c r="Y21" s="99">
        <v>97</v>
      </c>
      <c r="Z21" s="99">
        <v>62</v>
      </c>
      <c r="AA21" s="99" t="s">
        <v>537</v>
      </c>
      <c r="AB21" s="99" t="s">
        <v>537</v>
      </c>
      <c r="AC21" s="99" t="s">
        <v>537</v>
      </c>
      <c r="AD21" s="98" t="s">
        <v>312</v>
      </c>
      <c r="AE21" s="100">
        <v>0.16725559481743227</v>
      </c>
      <c r="AF21" s="100">
        <v>0.23</v>
      </c>
      <c r="AG21" s="98">
        <v>513.973658849984</v>
      </c>
      <c r="AH21" s="98">
        <v>224.86347574686798</v>
      </c>
      <c r="AI21" s="100">
        <v>0.015</v>
      </c>
      <c r="AJ21" s="100">
        <v>0.76452</v>
      </c>
      <c r="AK21" s="100">
        <v>0.748092</v>
      </c>
      <c r="AL21" s="100">
        <v>0.788835</v>
      </c>
      <c r="AM21" s="100">
        <v>0.467269</v>
      </c>
      <c r="AN21" s="100">
        <v>0.504739</v>
      </c>
      <c r="AO21" s="98">
        <v>1038.6551022593426</v>
      </c>
      <c r="AP21" s="158">
        <v>0.578090744</v>
      </c>
      <c r="AQ21" s="100">
        <v>0.13402061855670103</v>
      </c>
      <c r="AR21" s="100">
        <v>0.325</v>
      </c>
      <c r="AS21" s="98">
        <v>203.44790662811863</v>
      </c>
      <c r="AT21" s="98">
        <v>160.61676839061997</v>
      </c>
      <c r="AU21" s="98">
        <v>64.246707356248</v>
      </c>
      <c r="AV21" s="98">
        <v>160.61676839061997</v>
      </c>
      <c r="AW21" s="98">
        <v>374.7724595781133</v>
      </c>
      <c r="AX21" s="98">
        <v>481.85030517185993</v>
      </c>
      <c r="AY21" s="98">
        <v>1038.6551022593426</v>
      </c>
      <c r="AZ21" s="98">
        <v>663.8826426812293</v>
      </c>
      <c r="BA21" s="100" t="s">
        <v>537</v>
      </c>
      <c r="BB21" s="100" t="s">
        <v>537</v>
      </c>
      <c r="BC21" s="100" t="s">
        <v>537</v>
      </c>
      <c r="BD21" s="158">
        <v>0.46879264829999995</v>
      </c>
      <c r="BE21" s="158">
        <v>0.7052217102</v>
      </c>
      <c r="BF21" s="162">
        <v>947</v>
      </c>
      <c r="BG21" s="162">
        <v>917</v>
      </c>
      <c r="BH21" s="162">
        <v>2060</v>
      </c>
      <c r="BI21" s="162">
        <v>886</v>
      </c>
      <c r="BJ21" s="162">
        <v>422</v>
      </c>
      <c r="BK21" s="97"/>
      <c r="BL21" s="97"/>
      <c r="BM21" s="97"/>
      <c r="BN21" s="97"/>
    </row>
    <row r="22" spans="1:66" ht="12.75">
      <c r="A22" s="79" t="s">
        <v>502</v>
      </c>
      <c r="B22" s="79" t="s">
        <v>285</v>
      </c>
      <c r="C22" s="79" t="s">
        <v>98</v>
      </c>
      <c r="D22" s="99">
        <v>7509</v>
      </c>
      <c r="E22" s="99">
        <v>1199</v>
      </c>
      <c r="F22" s="99" t="s">
        <v>332</v>
      </c>
      <c r="G22" s="99">
        <v>34</v>
      </c>
      <c r="H22" s="99">
        <v>25</v>
      </c>
      <c r="I22" s="99">
        <v>114</v>
      </c>
      <c r="J22" s="99">
        <v>676</v>
      </c>
      <c r="K22" s="99">
        <v>603</v>
      </c>
      <c r="L22" s="99">
        <v>1399</v>
      </c>
      <c r="M22" s="99">
        <v>369</v>
      </c>
      <c r="N22" s="99">
        <v>203</v>
      </c>
      <c r="O22" s="99">
        <v>126</v>
      </c>
      <c r="P22" s="159">
        <v>126</v>
      </c>
      <c r="Q22" s="99">
        <v>13</v>
      </c>
      <c r="R22" s="99">
        <v>34</v>
      </c>
      <c r="S22" s="99">
        <v>23</v>
      </c>
      <c r="T22" s="99">
        <v>25</v>
      </c>
      <c r="U22" s="99" t="s">
        <v>537</v>
      </c>
      <c r="V22" s="99">
        <v>19</v>
      </c>
      <c r="W22" s="99">
        <v>46</v>
      </c>
      <c r="X22" s="99">
        <v>26</v>
      </c>
      <c r="Y22" s="99">
        <v>80</v>
      </c>
      <c r="Z22" s="99">
        <v>53</v>
      </c>
      <c r="AA22" s="99" t="s">
        <v>537</v>
      </c>
      <c r="AB22" s="99" t="s">
        <v>537</v>
      </c>
      <c r="AC22" s="99" t="s">
        <v>537</v>
      </c>
      <c r="AD22" s="98" t="s">
        <v>312</v>
      </c>
      <c r="AE22" s="100">
        <v>0.15967505659874817</v>
      </c>
      <c r="AF22" s="100">
        <v>0.17</v>
      </c>
      <c r="AG22" s="98">
        <v>452.7899853509122</v>
      </c>
      <c r="AH22" s="98">
        <v>332.9338127580237</v>
      </c>
      <c r="AI22" s="100">
        <v>0.015</v>
      </c>
      <c r="AJ22" s="100">
        <v>0.81544</v>
      </c>
      <c r="AK22" s="100">
        <v>0.75187</v>
      </c>
      <c r="AL22" s="100">
        <v>0.725622</v>
      </c>
      <c r="AM22" s="100">
        <v>0.532468</v>
      </c>
      <c r="AN22" s="100">
        <v>0.586705</v>
      </c>
      <c r="AO22" s="98">
        <v>1677.9864163004395</v>
      </c>
      <c r="AP22" s="158">
        <v>0.9434818267999999</v>
      </c>
      <c r="AQ22" s="100">
        <v>0.10317460317460317</v>
      </c>
      <c r="AR22" s="100">
        <v>0.38235294117647056</v>
      </c>
      <c r="AS22" s="98">
        <v>306.2991077373818</v>
      </c>
      <c r="AT22" s="98">
        <v>332.9338127580237</v>
      </c>
      <c r="AU22" s="98" t="s">
        <v>537</v>
      </c>
      <c r="AV22" s="98">
        <v>253.02969769609803</v>
      </c>
      <c r="AW22" s="98">
        <v>612.5982154747636</v>
      </c>
      <c r="AX22" s="98">
        <v>346.25116526834466</v>
      </c>
      <c r="AY22" s="98">
        <v>1065.3882008256758</v>
      </c>
      <c r="AZ22" s="98">
        <v>705.8196830470102</v>
      </c>
      <c r="BA22" s="100" t="s">
        <v>537</v>
      </c>
      <c r="BB22" s="100" t="s">
        <v>537</v>
      </c>
      <c r="BC22" s="100" t="s">
        <v>537</v>
      </c>
      <c r="BD22" s="158">
        <v>0.7859455872</v>
      </c>
      <c r="BE22" s="158">
        <v>1.123335342</v>
      </c>
      <c r="BF22" s="162">
        <v>829</v>
      </c>
      <c r="BG22" s="162">
        <v>802</v>
      </c>
      <c r="BH22" s="162">
        <v>1928</v>
      </c>
      <c r="BI22" s="162">
        <v>693</v>
      </c>
      <c r="BJ22" s="162">
        <v>346</v>
      </c>
      <c r="BK22" s="97"/>
      <c r="BL22" s="97"/>
      <c r="BM22" s="97"/>
      <c r="BN22" s="97"/>
    </row>
    <row r="23" spans="1:66" ht="12.75">
      <c r="A23" s="79" t="s">
        <v>540</v>
      </c>
      <c r="B23" s="79" t="s">
        <v>303</v>
      </c>
      <c r="C23" s="79" t="s">
        <v>98</v>
      </c>
      <c r="D23" s="99">
        <v>5317</v>
      </c>
      <c r="E23" s="99">
        <v>428</v>
      </c>
      <c r="F23" s="99" t="s">
        <v>333</v>
      </c>
      <c r="G23" s="99">
        <v>11</v>
      </c>
      <c r="H23" s="99" t="s">
        <v>537</v>
      </c>
      <c r="I23" s="99">
        <v>32</v>
      </c>
      <c r="J23" s="99">
        <v>314</v>
      </c>
      <c r="K23" s="99">
        <v>282</v>
      </c>
      <c r="L23" s="99">
        <v>915</v>
      </c>
      <c r="M23" s="99">
        <v>130</v>
      </c>
      <c r="N23" s="99">
        <v>71</v>
      </c>
      <c r="O23" s="99">
        <v>13</v>
      </c>
      <c r="P23" s="159">
        <v>13</v>
      </c>
      <c r="Q23" s="99" t="s">
        <v>537</v>
      </c>
      <c r="R23" s="99">
        <v>10</v>
      </c>
      <c r="S23" s="99" t="s">
        <v>537</v>
      </c>
      <c r="T23" s="99" t="s">
        <v>537</v>
      </c>
      <c r="U23" s="99" t="s">
        <v>537</v>
      </c>
      <c r="V23" s="99" t="s">
        <v>537</v>
      </c>
      <c r="W23" s="99">
        <v>17</v>
      </c>
      <c r="X23" s="99">
        <v>15</v>
      </c>
      <c r="Y23" s="99">
        <v>35</v>
      </c>
      <c r="Z23" s="99">
        <v>10</v>
      </c>
      <c r="AA23" s="99" t="s">
        <v>537</v>
      </c>
      <c r="AB23" s="99" t="s">
        <v>537</v>
      </c>
      <c r="AC23" s="99" t="s">
        <v>537</v>
      </c>
      <c r="AD23" s="98" t="s">
        <v>312</v>
      </c>
      <c r="AE23" s="100">
        <v>0.08049652059432011</v>
      </c>
      <c r="AF23" s="100">
        <v>0.25</v>
      </c>
      <c r="AG23" s="98">
        <v>206.88358096671055</v>
      </c>
      <c r="AH23" s="98" t="s">
        <v>537</v>
      </c>
      <c r="AI23" s="100">
        <v>0.006</v>
      </c>
      <c r="AJ23" s="100">
        <v>0.715262</v>
      </c>
      <c r="AK23" s="100">
        <v>0.666667</v>
      </c>
      <c r="AL23" s="100">
        <v>0.766332</v>
      </c>
      <c r="AM23" s="100">
        <v>0.393939</v>
      </c>
      <c r="AN23" s="100">
        <v>0.422619</v>
      </c>
      <c r="AO23" s="98">
        <v>244.49877750611248</v>
      </c>
      <c r="AP23" s="158">
        <v>0.18890993120000002</v>
      </c>
      <c r="AQ23" s="100" t="s">
        <v>537</v>
      </c>
      <c r="AR23" s="100" t="s">
        <v>537</v>
      </c>
      <c r="AS23" s="98" t="s">
        <v>537</v>
      </c>
      <c r="AT23" s="98" t="s">
        <v>537</v>
      </c>
      <c r="AU23" s="98" t="s">
        <v>537</v>
      </c>
      <c r="AV23" s="98" t="s">
        <v>537</v>
      </c>
      <c r="AW23" s="98">
        <v>319.7291705849163</v>
      </c>
      <c r="AX23" s="98">
        <v>282.1139740455144</v>
      </c>
      <c r="AY23" s="98">
        <v>658.2659394395336</v>
      </c>
      <c r="AZ23" s="98">
        <v>188.07598269700958</v>
      </c>
      <c r="BA23" s="100" t="s">
        <v>537</v>
      </c>
      <c r="BB23" s="100" t="s">
        <v>537</v>
      </c>
      <c r="BC23" s="100" t="s">
        <v>537</v>
      </c>
      <c r="BD23" s="158">
        <v>0.10058658599999999</v>
      </c>
      <c r="BE23" s="158">
        <v>0.3230417252</v>
      </c>
      <c r="BF23" s="162">
        <v>439</v>
      </c>
      <c r="BG23" s="162">
        <v>423</v>
      </c>
      <c r="BH23" s="162">
        <v>1194</v>
      </c>
      <c r="BI23" s="162">
        <v>330</v>
      </c>
      <c r="BJ23" s="162">
        <v>168</v>
      </c>
      <c r="BK23" s="97"/>
      <c r="BL23" s="97"/>
      <c r="BM23" s="97"/>
      <c r="BN23" s="97"/>
    </row>
    <row r="24" spans="1:66" ht="12.75">
      <c r="A24" s="79" t="s">
        <v>511</v>
      </c>
      <c r="B24" s="79" t="s">
        <v>294</v>
      </c>
      <c r="C24" s="79" t="s">
        <v>98</v>
      </c>
      <c r="D24" s="99">
        <v>10768</v>
      </c>
      <c r="E24" s="99">
        <v>1456</v>
      </c>
      <c r="F24" s="99" t="s">
        <v>332</v>
      </c>
      <c r="G24" s="99">
        <v>38</v>
      </c>
      <c r="H24" s="99">
        <v>23</v>
      </c>
      <c r="I24" s="99">
        <v>124</v>
      </c>
      <c r="J24" s="99">
        <v>678</v>
      </c>
      <c r="K24" s="99">
        <v>9</v>
      </c>
      <c r="L24" s="99">
        <v>1859</v>
      </c>
      <c r="M24" s="99">
        <v>431</v>
      </c>
      <c r="N24" s="99">
        <v>216</v>
      </c>
      <c r="O24" s="99">
        <v>72</v>
      </c>
      <c r="P24" s="159">
        <v>72</v>
      </c>
      <c r="Q24" s="99">
        <v>14</v>
      </c>
      <c r="R24" s="99">
        <v>42</v>
      </c>
      <c r="S24" s="99">
        <v>12</v>
      </c>
      <c r="T24" s="99">
        <v>18</v>
      </c>
      <c r="U24" s="99">
        <v>9</v>
      </c>
      <c r="V24" s="99" t="s">
        <v>537</v>
      </c>
      <c r="W24" s="99">
        <v>20</v>
      </c>
      <c r="X24" s="99">
        <v>62</v>
      </c>
      <c r="Y24" s="99">
        <v>76</v>
      </c>
      <c r="Z24" s="99">
        <v>46</v>
      </c>
      <c r="AA24" s="99" t="s">
        <v>537</v>
      </c>
      <c r="AB24" s="99" t="s">
        <v>537</v>
      </c>
      <c r="AC24" s="99" t="s">
        <v>537</v>
      </c>
      <c r="AD24" s="98" t="s">
        <v>312</v>
      </c>
      <c r="AE24" s="100">
        <v>0.1352154531946508</v>
      </c>
      <c r="AF24" s="100">
        <v>0.21</v>
      </c>
      <c r="AG24" s="98">
        <v>352.8974739970282</v>
      </c>
      <c r="AH24" s="98">
        <v>213.5958395245171</v>
      </c>
      <c r="AI24" s="100">
        <v>0.012</v>
      </c>
      <c r="AJ24" s="100">
        <v>0.648184</v>
      </c>
      <c r="AK24" s="100">
        <v>0.75</v>
      </c>
      <c r="AL24" s="100">
        <v>0.721381</v>
      </c>
      <c r="AM24" s="100">
        <v>0.4937</v>
      </c>
      <c r="AN24" s="100">
        <v>0.486486</v>
      </c>
      <c r="AO24" s="98">
        <v>668.6478454680534</v>
      </c>
      <c r="AP24" s="158">
        <v>0.41252777100000004</v>
      </c>
      <c r="AQ24" s="100">
        <v>0.19444444444444445</v>
      </c>
      <c r="AR24" s="100">
        <v>0.3333333333333333</v>
      </c>
      <c r="AS24" s="98">
        <v>111.44130757800892</v>
      </c>
      <c r="AT24" s="98">
        <v>167.16196136701336</v>
      </c>
      <c r="AU24" s="98">
        <v>83.58098068350668</v>
      </c>
      <c r="AV24" s="98" t="s">
        <v>537</v>
      </c>
      <c r="AW24" s="98">
        <v>185.73551263001485</v>
      </c>
      <c r="AX24" s="98">
        <v>575.7800891530461</v>
      </c>
      <c r="AY24" s="98">
        <v>705.7949479940564</v>
      </c>
      <c r="AZ24" s="98">
        <v>427.1916790490342</v>
      </c>
      <c r="BA24" s="100" t="s">
        <v>537</v>
      </c>
      <c r="BB24" s="100" t="s">
        <v>537</v>
      </c>
      <c r="BC24" s="100" t="s">
        <v>537</v>
      </c>
      <c r="BD24" s="158">
        <v>0.3227775574</v>
      </c>
      <c r="BE24" s="158">
        <v>0.5195104599</v>
      </c>
      <c r="BF24" s="162">
        <v>1046</v>
      </c>
      <c r="BG24" s="162">
        <v>12</v>
      </c>
      <c r="BH24" s="162">
        <v>2577</v>
      </c>
      <c r="BI24" s="162">
        <v>873</v>
      </c>
      <c r="BJ24" s="162">
        <v>444</v>
      </c>
      <c r="BK24" s="97"/>
      <c r="BL24" s="97"/>
      <c r="BM24" s="97"/>
      <c r="BN24" s="97"/>
    </row>
    <row r="25" spans="1:66" ht="12.75">
      <c r="A25" s="79" t="s">
        <v>527</v>
      </c>
      <c r="B25" s="79" t="s">
        <v>493</v>
      </c>
      <c r="C25" s="79" t="s">
        <v>98</v>
      </c>
      <c r="D25" s="99">
        <v>1803</v>
      </c>
      <c r="E25" s="99">
        <v>27</v>
      </c>
      <c r="F25" s="99" t="s">
        <v>332</v>
      </c>
      <c r="G25" s="99" t="s">
        <v>537</v>
      </c>
      <c r="H25" s="99" t="s">
        <v>537</v>
      </c>
      <c r="I25" s="99">
        <v>5</v>
      </c>
      <c r="J25" s="99">
        <v>16</v>
      </c>
      <c r="K25" s="99" t="s">
        <v>537</v>
      </c>
      <c r="L25" s="99">
        <v>296</v>
      </c>
      <c r="M25" s="99">
        <v>11</v>
      </c>
      <c r="N25" s="99">
        <v>9</v>
      </c>
      <c r="O25" s="99">
        <v>19</v>
      </c>
      <c r="P25" s="159">
        <v>19</v>
      </c>
      <c r="Q25" s="99" t="s">
        <v>537</v>
      </c>
      <c r="R25" s="99" t="s">
        <v>537</v>
      </c>
      <c r="S25" s="99">
        <v>8</v>
      </c>
      <c r="T25" s="99" t="s">
        <v>537</v>
      </c>
      <c r="U25" s="99" t="s">
        <v>537</v>
      </c>
      <c r="V25" s="99" t="s">
        <v>537</v>
      </c>
      <c r="W25" s="99" t="s">
        <v>537</v>
      </c>
      <c r="X25" s="99" t="s">
        <v>537</v>
      </c>
      <c r="Y25" s="99" t="s">
        <v>537</v>
      </c>
      <c r="Z25" s="99" t="s">
        <v>537</v>
      </c>
      <c r="AA25" s="99" t="s">
        <v>537</v>
      </c>
      <c r="AB25" s="99" t="s">
        <v>537</v>
      </c>
      <c r="AC25" s="99" t="s">
        <v>537</v>
      </c>
      <c r="AD25" s="98" t="s">
        <v>312</v>
      </c>
      <c r="AE25" s="100">
        <v>0.014975041597337771</v>
      </c>
      <c r="AF25" s="100">
        <v>0.22</v>
      </c>
      <c r="AG25" s="98" t="s">
        <v>537</v>
      </c>
      <c r="AH25" s="98" t="s">
        <v>537</v>
      </c>
      <c r="AI25" s="100">
        <v>0.003</v>
      </c>
      <c r="AJ25" s="100">
        <v>0.326531</v>
      </c>
      <c r="AK25" s="100" t="s">
        <v>537</v>
      </c>
      <c r="AL25" s="100">
        <v>0.554307</v>
      </c>
      <c r="AM25" s="100">
        <v>0.305556</v>
      </c>
      <c r="AN25" s="100">
        <v>0.409091</v>
      </c>
      <c r="AO25" s="98">
        <v>1053.7992235163615</v>
      </c>
      <c r="AP25" s="158">
        <v>1.118232498</v>
      </c>
      <c r="AQ25" s="100" t="s">
        <v>537</v>
      </c>
      <c r="AR25" s="100" t="s">
        <v>537</v>
      </c>
      <c r="AS25" s="98">
        <v>443.7049362174154</v>
      </c>
      <c r="AT25" s="98" t="s">
        <v>537</v>
      </c>
      <c r="AU25" s="98" t="s">
        <v>537</v>
      </c>
      <c r="AV25" s="98" t="s">
        <v>537</v>
      </c>
      <c r="AW25" s="98" t="s">
        <v>537</v>
      </c>
      <c r="AX25" s="98" t="s">
        <v>537</v>
      </c>
      <c r="AY25" s="98" t="s">
        <v>537</v>
      </c>
      <c r="AZ25" s="98" t="s">
        <v>537</v>
      </c>
      <c r="BA25" s="100" t="s">
        <v>537</v>
      </c>
      <c r="BB25" s="100" t="s">
        <v>537</v>
      </c>
      <c r="BC25" s="100" t="s">
        <v>537</v>
      </c>
      <c r="BD25" s="158">
        <v>0.673249054</v>
      </c>
      <c r="BE25" s="158">
        <v>1.746258545</v>
      </c>
      <c r="BF25" s="162">
        <v>49</v>
      </c>
      <c r="BG25" s="162" t="s">
        <v>537</v>
      </c>
      <c r="BH25" s="162">
        <v>534</v>
      </c>
      <c r="BI25" s="162">
        <v>36</v>
      </c>
      <c r="BJ25" s="162">
        <v>22</v>
      </c>
      <c r="BK25" s="97"/>
      <c r="BL25" s="97"/>
      <c r="BM25" s="97"/>
      <c r="BN25" s="97"/>
    </row>
    <row r="26" spans="1:66" ht="12.75">
      <c r="A26" s="79" t="s">
        <v>518</v>
      </c>
      <c r="B26" s="79" t="s">
        <v>301</v>
      </c>
      <c r="C26" s="79" t="s">
        <v>98</v>
      </c>
      <c r="D26" s="99">
        <v>7615</v>
      </c>
      <c r="E26" s="99">
        <v>663</v>
      </c>
      <c r="F26" s="99" t="s">
        <v>334</v>
      </c>
      <c r="G26" s="99">
        <v>32</v>
      </c>
      <c r="H26" s="99">
        <v>13</v>
      </c>
      <c r="I26" s="99">
        <v>65</v>
      </c>
      <c r="J26" s="99">
        <v>574</v>
      </c>
      <c r="K26" s="99">
        <v>9</v>
      </c>
      <c r="L26" s="99">
        <v>1767</v>
      </c>
      <c r="M26" s="99">
        <v>335</v>
      </c>
      <c r="N26" s="99">
        <v>165</v>
      </c>
      <c r="O26" s="99">
        <v>93</v>
      </c>
      <c r="P26" s="159">
        <v>93</v>
      </c>
      <c r="Q26" s="99">
        <v>11</v>
      </c>
      <c r="R26" s="99">
        <v>21</v>
      </c>
      <c r="S26" s="99">
        <v>19</v>
      </c>
      <c r="T26" s="99">
        <v>19</v>
      </c>
      <c r="U26" s="99" t="s">
        <v>537</v>
      </c>
      <c r="V26" s="99">
        <v>16</v>
      </c>
      <c r="W26" s="99">
        <v>34</v>
      </c>
      <c r="X26" s="99">
        <v>29</v>
      </c>
      <c r="Y26" s="99">
        <v>62</v>
      </c>
      <c r="Z26" s="99">
        <v>40</v>
      </c>
      <c r="AA26" s="99" t="s">
        <v>537</v>
      </c>
      <c r="AB26" s="99" t="s">
        <v>537</v>
      </c>
      <c r="AC26" s="99" t="s">
        <v>537</v>
      </c>
      <c r="AD26" s="98" t="s">
        <v>312</v>
      </c>
      <c r="AE26" s="100">
        <v>0.08706500328299409</v>
      </c>
      <c r="AF26" s="100">
        <v>0.1</v>
      </c>
      <c r="AG26" s="98">
        <v>420.2232435981615</v>
      </c>
      <c r="AH26" s="98">
        <v>170.71569271175312</v>
      </c>
      <c r="AI26" s="100">
        <v>0.009000000000000001</v>
      </c>
      <c r="AJ26" s="100">
        <v>0.691566</v>
      </c>
      <c r="AK26" s="100">
        <v>0.692308</v>
      </c>
      <c r="AL26" s="100">
        <v>0.835856</v>
      </c>
      <c r="AM26" s="100">
        <v>0.555556</v>
      </c>
      <c r="AN26" s="100">
        <v>0.565068</v>
      </c>
      <c r="AO26" s="98">
        <v>1221.273801707157</v>
      </c>
      <c r="AP26" s="158">
        <v>0.786291275</v>
      </c>
      <c r="AQ26" s="100">
        <v>0.11827956989247312</v>
      </c>
      <c r="AR26" s="100">
        <v>0.5238095238095238</v>
      </c>
      <c r="AS26" s="98">
        <v>249.5075508864084</v>
      </c>
      <c r="AT26" s="98">
        <v>249.5075508864084</v>
      </c>
      <c r="AU26" s="98" t="s">
        <v>537</v>
      </c>
      <c r="AV26" s="98">
        <v>210.11162179908075</v>
      </c>
      <c r="AW26" s="98">
        <v>446.48719632304665</v>
      </c>
      <c r="AX26" s="98">
        <v>380.8273145108339</v>
      </c>
      <c r="AY26" s="98">
        <v>814.182534471438</v>
      </c>
      <c r="AZ26" s="98">
        <v>525.2790544977018</v>
      </c>
      <c r="BA26" s="100" t="s">
        <v>537</v>
      </c>
      <c r="BB26" s="100" t="s">
        <v>537</v>
      </c>
      <c r="BC26" s="100" t="s">
        <v>537</v>
      </c>
      <c r="BD26" s="158">
        <v>0.6346385574</v>
      </c>
      <c r="BE26" s="158">
        <v>0.9632599639999999</v>
      </c>
      <c r="BF26" s="162">
        <v>830</v>
      </c>
      <c r="BG26" s="162">
        <v>13</v>
      </c>
      <c r="BH26" s="162">
        <v>2114</v>
      </c>
      <c r="BI26" s="162">
        <v>603</v>
      </c>
      <c r="BJ26" s="162">
        <v>292</v>
      </c>
      <c r="BK26" s="97"/>
      <c r="BL26" s="97"/>
      <c r="BM26" s="97"/>
      <c r="BN26" s="97"/>
    </row>
    <row r="27" spans="1:66" ht="12.75">
      <c r="A27" s="79" t="s">
        <v>526</v>
      </c>
      <c r="B27" s="79" t="s">
        <v>311</v>
      </c>
      <c r="C27" s="79" t="s">
        <v>98</v>
      </c>
      <c r="D27" s="99">
        <v>6481</v>
      </c>
      <c r="E27" s="99">
        <v>442</v>
      </c>
      <c r="F27" s="99" t="s">
        <v>333</v>
      </c>
      <c r="G27" s="99">
        <v>7</v>
      </c>
      <c r="H27" s="99">
        <v>6</v>
      </c>
      <c r="I27" s="99">
        <v>33</v>
      </c>
      <c r="J27" s="99">
        <v>249</v>
      </c>
      <c r="K27" s="99">
        <v>99</v>
      </c>
      <c r="L27" s="99">
        <v>1025</v>
      </c>
      <c r="M27" s="99">
        <v>99</v>
      </c>
      <c r="N27" s="99">
        <v>54</v>
      </c>
      <c r="O27" s="99">
        <v>64</v>
      </c>
      <c r="P27" s="159">
        <v>64</v>
      </c>
      <c r="Q27" s="99">
        <v>8</v>
      </c>
      <c r="R27" s="99">
        <v>11</v>
      </c>
      <c r="S27" s="99">
        <v>18</v>
      </c>
      <c r="T27" s="99">
        <v>7</v>
      </c>
      <c r="U27" s="99" t="s">
        <v>537</v>
      </c>
      <c r="V27" s="99" t="s">
        <v>537</v>
      </c>
      <c r="W27" s="99">
        <v>11</v>
      </c>
      <c r="X27" s="99">
        <v>11</v>
      </c>
      <c r="Y27" s="99">
        <v>29</v>
      </c>
      <c r="Z27" s="99">
        <v>32</v>
      </c>
      <c r="AA27" s="99" t="s">
        <v>537</v>
      </c>
      <c r="AB27" s="99" t="s">
        <v>537</v>
      </c>
      <c r="AC27" s="99" t="s">
        <v>537</v>
      </c>
      <c r="AD27" s="98" t="s">
        <v>312</v>
      </c>
      <c r="AE27" s="100">
        <v>0.06819935195185928</v>
      </c>
      <c r="AF27" s="100">
        <v>0.28</v>
      </c>
      <c r="AG27" s="98">
        <v>108.00802345317081</v>
      </c>
      <c r="AH27" s="98">
        <v>92.57830581700355</v>
      </c>
      <c r="AI27" s="100">
        <v>0.005</v>
      </c>
      <c r="AJ27" s="100">
        <v>0.601449</v>
      </c>
      <c r="AK27" s="100">
        <v>0.5625</v>
      </c>
      <c r="AL27" s="100">
        <v>0.681969</v>
      </c>
      <c r="AM27" s="100">
        <v>0.303681</v>
      </c>
      <c r="AN27" s="100">
        <v>0.308571</v>
      </c>
      <c r="AO27" s="98">
        <v>987.5019287147045</v>
      </c>
      <c r="AP27" s="158">
        <v>0.8518363189999999</v>
      </c>
      <c r="AQ27" s="100">
        <v>0.125</v>
      </c>
      <c r="AR27" s="100">
        <v>0.7272727272727273</v>
      </c>
      <c r="AS27" s="98">
        <v>277.73491745101063</v>
      </c>
      <c r="AT27" s="98">
        <v>108.00802345317081</v>
      </c>
      <c r="AU27" s="98" t="s">
        <v>537</v>
      </c>
      <c r="AV27" s="98" t="s">
        <v>537</v>
      </c>
      <c r="AW27" s="98">
        <v>169.72689399783985</v>
      </c>
      <c r="AX27" s="98">
        <v>169.72689399783985</v>
      </c>
      <c r="AY27" s="98">
        <v>447.4618114488505</v>
      </c>
      <c r="AZ27" s="98">
        <v>493.75096435735225</v>
      </c>
      <c r="BA27" s="100" t="s">
        <v>537</v>
      </c>
      <c r="BB27" s="100" t="s">
        <v>537</v>
      </c>
      <c r="BC27" s="100" t="s">
        <v>537</v>
      </c>
      <c r="BD27" s="158">
        <v>0.6560177612</v>
      </c>
      <c r="BE27" s="158">
        <v>1.087776031</v>
      </c>
      <c r="BF27" s="162">
        <v>414</v>
      </c>
      <c r="BG27" s="162">
        <v>176</v>
      </c>
      <c r="BH27" s="162">
        <v>1503</v>
      </c>
      <c r="BI27" s="162">
        <v>326</v>
      </c>
      <c r="BJ27" s="162">
        <v>175</v>
      </c>
      <c r="BK27" s="97"/>
      <c r="BL27" s="97"/>
      <c r="BM27" s="97"/>
      <c r="BN27" s="97"/>
    </row>
    <row r="28" spans="1:66" ht="12.75">
      <c r="A28" s="79" t="s">
        <v>507</v>
      </c>
      <c r="B28" s="79" t="s">
        <v>290</v>
      </c>
      <c r="C28" s="79" t="s">
        <v>98</v>
      </c>
      <c r="D28" s="99">
        <v>6560</v>
      </c>
      <c r="E28" s="99">
        <v>740</v>
      </c>
      <c r="F28" s="99" t="s">
        <v>335</v>
      </c>
      <c r="G28" s="99">
        <v>26</v>
      </c>
      <c r="H28" s="99">
        <v>13</v>
      </c>
      <c r="I28" s="99">
        <v>109</v>
      </c>
      <c r="J28" s="99">
        <v>523</v>
      </c>
      <c r="K28" s="99">
        <v>498</v>
      </c>
      <c r="L28" s="99">
        <v>1356</v>
      </c>
      <c r="M28" s="99">
        <v>288</v>
      </c>
      <c r="N28" s="99">
        <v>171</v>
      </c>
      <c r="O28" s="99">
        <v>107</v>
      </c>
      <c r="P28" s="159">
        <v>107</v>
      </c>
      <c r="Q28" s="99">
        <v>8</v>
      </c>
      <c r="R28" s="99">
        <v>25</v>
      </c>
      <c r="S28" s="99">
        <v>36</v>
      </c>
      <c r="T28" s="99">
        <v>15</v>
      </c>
      <c r="U28" s="99" t="s">
        <v>537</v>
      </c>
      <c r="V28" s="99">
        <v>14</v>
      </c>
      <c r="W28" s="99">
        <v>37</v>
      </c>
      <c r="X28" s="99">
        <v>25</v>
      </c>
      <c r="Y28" s="99">
        <v>52</v>
      </c>
      <c r="Z28" s="99">
        <v>34</v>
      </c>
      <c r="AA28" s="99" t="s">
        <v>537</v>
      </c>
      <c r="AB28" s="99" t="s">
        <v>537</v>
      </c>
      <c r="AC28" s="99" t="s">
        <v>537</v>
      </c>
      <c r="AD28" s="98" t="s">
        <v>312</v>
      </c>
      <c r="AE28" s="100">
        <v>0.11280487804878049</v>
      </c>
      <c r="AF28" s="100">
        <v>0.16</v>
      </c>
      <c r="AG28" s="98">
        <v>396.3414634146341</v>
      </c>
      <c r="AH28" s="98">
        <v>198.17073170731706</v>
      </c>
      <c r="AI28" s="100">
        <v>0.017</v>
      </c>
      <c r="AJ28" s="100">
        <v>0.753602</v>
      </c>
      <c r="AK28" s="100">
        <v>0.753404</v>
      </c>
      <c r="AL28" s="100">
        <v>0.767837</v>
      </c>
      <c r="AM28" s="100">
        <v>0.505263</v>
      </c>
      <c r="AN28" s="100">
        <v>0.566225</v>
      </c>
      <c r="AO28" s="98">
        <v>1631.0975609756097</v>
      </c>
      <c r="AP28" s="158">
        <v>1.010714951</v>
      </c>
      <c r="AQ28" s="100">
        <v>0.07476635514018691</v>
      </c>
      <c r="AR28" s="100">
        <v>0.32</v>
      </c>
      <c r="AS28" s="98">
        <v>548.780487804878</v>
      </c>
      <c r="AT28" s="98">
        <v>228.65853658536585</v>
      </c>
      <c r="AU28" s="98" t="s">
        <v>537</v>
      </c>
      <c r="AV28" s="98">
        <v>213.41463414634146</v>
      </c>
      <c r="AW28" s="98">
        <v>564.0243902439024</v>
      </c>
      <c r="AX28" s="98">
        <v>381.0975609756098</v>
      </c>
      <c r="AY28" s="98">
        <v>792.6829268292682</v>
      </c>
      <c r="AZ28" s="98">
        <v>518.2926829268292</v>
      </c>
      <c r="BA28" s="100" t="s">
        <v>537</v>
      </c>
      <c r="BB28" s="100" t="s">
        <v>537</v>
      </c>
      <c r="BC28" s="100" t="s">
        <v>537</v>
      </c>
      <c r="BD28" s="158">
        <v>0.8283052825999999</v>
      </c>
      <c r="BE28" s="158">
        <v>1.22134552</v>
      </c>
      <c r="BF28" s="162">
        <v>694</v>
      </c>
      <c r="BG28" s="162">
        <v>661</v>
      </c>
      <c r="BH28" s="162">
        <v>1766</v>
      </c>
      <c r="BI28" s="162">
        <v>570</v>
      </c>
      <c r="BJ28" s="162">
        <v>302</v>
      </c>
      <c r="BK28" s="97"/>
      <c r="BL28" s="97"/>
      <c r="BM28" s="97"/>
      <c r="BN28" s="97"/>
    </row>
    <row r="29" spans="1:66" ht="12.75">
      <c r="A29" s="79" t="s">
        <v>509</v>
      </c>
      <c r="B29" s="79" t="s">
        <v>292</v>
      </c>
      <c r="C29" s="79" t="s">
        <v>98</v>
      </c>
      <c r="D29" s="99">
        <v>19597</v>
      </c>
      <c r="E29" s="99">
        <v>1901</v>
      </c>
      <c r="F29" s="99" t="s">
        <v>332</v>
      </c>
      <c r="G29" s="99">
        <v>60</v>
      </c>
      <c r="H29" s="99">
        <v>27</v>
      </c>
      <c r="I29" s="99">
        <v>190</v>
      </c>
      <c r="J29" s="99">
        <v>947</v>
      </c>
      <c r="K29" s="99">
        <v>15</v>
      </c>
      <c r="L29" s="99">
        <v>3046</v>
      </c>
      <c r="M29" s="99">
        <v>519</v>
      </c>
      <c r="N29" s="99">
        <v>280</v>
      </c>
      <c r="O29" s="99">
        <v>166</v>
      </c>
      <c r="P29" s="159">
        <v>166</v>
      </c>
      <c r="Q29" s="99">
        <v>17</v>
      </c>
      <c r="R29" s="99">
        <v>48</v>
      </c>
      <c r="S29" s="99">
        <v>37</v>
      </c>
      <c r="T29" s="99">
        <v>15</v>
      </c>
      <c r="U29" s="99">
        <v>11</v>
      </c>
      <c r="V29" s="99">
        <v>29</v>
      </c>
      <c r="W29" s="99">
        <v>45</v>
      </c>
      <c r="X29" s="99">
        <v>44</v>
      </c>
      <c r="Y29" s="99">
        <v>143</v>
      </c>
      <c r="Z29" s="99">
        <v>79</v>
      </c>
      <c r="AA29" s="99" t="s">
        <v>537</v>
      </c>
      <c r="AB29" s="99" t="s">
        <v>537</v>
      </c>
      <c r="AC29" s="99" t="s">
        <v>537</v>
      </c>
      <c r="AD29" s="98" t="s">
        <v>312</v>
      </c>
      <c r="AE29" s="100">
        <v>0.09700464356789304</v>
      </c>
      <c r="AF29" s="100">
        <v>0.21</v>
      </c>
      <c r="AG29" s="98">
        <v>306.16931162933105</v>
      </c>
      <c r="AH29" s="98">
        <v>137.77619023319895</v>
      </c>
      <c r="AI29" s="100">
        <v>0.01</v>
      </c>
      <c r="AJ29" s="100">
        <v>0.681295</v>
      </c>
      <c r="AK29" s="100">
        <v>0.405405</v>
      </c>
      <c r="AL29" s="100">
        <v>0.628041</v>
      </c>
      <c r="AM29" s="100">
        <v>0.466727</v>
      </c>
      <c r="AN29" s="100">
        <v>0.507246</v>
      </c>
      <c r="AO29" s="98">
        <v>847.0684288411492</v>
      </c>
      <c r="AP29" s="158">
        <v>0.6157556533999999</v>
      </c>
      <c r="AQ29" s="100">
        <v>0.10240963855421686</v>
      </c>
      <c r="AR29" s="100">
        <v>0.3541666666666667</v>
      </c>
      <c r="AS29" s="98">
        <v>188.80440883808745</v>
      </c>
      <c r="AT29" s="98">
        <v>76.54232790733276</v>
      </c>
      <c r="AU29" s="98">
        <v>56.13104046537735</v>
      </c>
      <c r="AV29" s="98">
        <v>147.98183395417666</v>
      </c>
      <c r="AW29" s="98">
        <v>229.62698372199827</v>
      </c>
      <c r="AX29" s="98">
        <v>224.5241618615094</v>
      </c>
      <c r="AY29" s="98">
        <v>729.7035260499056</v>
      </c>
      <c r="AZ29" s="98">
        <v>403.12292697861915</v>
      </c>
      <c r="BA29" s="100" t="s">
        <v>537</v>
      </c>
      <c r="BB29" s="100" t="s">
        <v>537</v>
      </c>
      <c r="BC29" s="100" t="s">
        <v>537</v>
      </c>
      <c r="BD29" s="158">
        <v>0.5256465149</v>
      </c>
      <c r="BE29" s="158">
        <v>0.7168796539</v>
      </c>
      <c r="BF29" s="162">
        <v>1390</v>
      </c>
      <c r="BG29" s="162">
        <v>37</v>
      </c>
      <c r="BH29" s="162">
        <v>4850</v>
      </c>
      <c r="BI29" s="162">
        <v>1112</v>
      </c>
      <c r="BJ29" s="162">
        <v>552</v>
      </c>
      <c r="BK29" s="97"/>
      <c r="BL29" s="97"/>
      <c r="BM29" s="97"/>
      <c r="BN29" s="97"/>
    </row>
    <row r="30" spans="1:66" ht="12.75">
      <c r="A30" s="79" t="s">
        <v>528</v>
      </c>
      <c r="B30" s="79" t="s">
        <v>494</v>
      </c>
      <c r="C30" s="79" t="s">
        <v>98</v>
      </c>
      <c r="D30" s="99">
        <v>1443</v>
      </c>
      <c r="E30" s="99">
        <v>55</v>
      </c>
      <c r="F30" s="99" t="s">
        <v>333</v>
      </c>
      <c r="G30" s="99" t="s">
        <v>537</v>
      </c>
      <c r="H30" s="99" t="s">
        <v>537</v>
      </c>
      <c r="I30" s="99">
        <v>8</v>
      </c>
      <c r="J30" s="99">
        <v>59</v>
      </c>
      <c r="K30" s="99">
        <v>12</v>
      </c>
      <c r="L30" s="99">
        <v>318</v>
      </c>
      <c r="M30" s="99">
        <v>19</v>
      </c>
      <c r="N30" s="99">
        <v>16</v>
      </c>
      <c r="O30" s="99">
        <v>11</v>
      </c>
      <c r="P30" s="159">
        <v>11</v>
      </c>
      <c r="Q30" s="99" t="s">
        <v>537</v>
      </c>
      <c r="R30" s="99" t="s">
        <v>537</v>
      </c>
      <c r="S30" s="99">
        <v>6</v>
      </c>
      <c r="T30" s="99" t="s">
        <v>537</v>
      </c>
      <c r="U30" s="99" t="s">
        <v>537</v>
      </c>
      <c r="V30" s="99" t="s">
        <v>537</v>
      </c>
      <c r="W30" s="99" t="s">
        <v>537</v>
      </c>
      <c r="X30" s="99" t="s">
        <v>537</v>
      </c>
      <c r="Y30" s="99" t="s">
        <v>537</v>
      </c>
      <c r="Z30" s="99" t="s">
        <v>537</v>
      </c>
      <c r="AA30" s="99" t="s">
        <v>537</v>
      </c>
      <c r="AB30" s="99" t="s">
        <v>537</v>
      </c>
      <c r="AC30" s="99" t="s">
        <v>537</v>
      </c>
      <c r="AD30" s="98" t="s">
        <v>312</v>
      </c>
      <c r="AE30" s="100">
        <v>0.038115038115038115</v>
      </c>
      <c r="AF30" s="100">
        <v>0.3</v>
      </c>
      <c r="AG30" s="98" t="s">
        <v>537</v>
      </c>
      <c r="AH30" s="98" t="s">
        <v>537</v>
      </c>
      <c r="AI30" s="100">
        <v>0.006</v>
      </c>
      <c r="AJ30" s="100">
        <v>0.614583</v>
      </c>
      <c r="AK30" s="100">
        <v>0.8</v>
      </c>
      <c r="AL30" s="100">
        <v>0.777506</v>
      </c>
      <c r="AM30" s="100">
        <v>0.311475</v>
      </c>
      <c r="AN30" s="100">
        <v>0.484848</v>
      </c>
      <c r="AO30" s="98">
        <v>762.3007623007622</v>
      </c>
      <c r="AP30" s="158">
        <v>0.7026729584</v>
      </c>
      <c r="AQ30" s="100" t="s">
        <v>537</v>
      </c>
      <c r="AR30" s="100" t="s">
        <v>537</v>
      </c>
      <c r="AS30" s="98">
        <v>415.8004158004158</v>
      </c>
      <c r="AT30" s="98" t="s">
        <v>537</v>
      </c>
      <c r="AU30" s="98" t="s">
        <v>537</v>
      </c>
      <c r="AV30" s="98" t="s">
        <v>537</v>
      </c>
      <c r="AW30" s="98" t="s">
        <v>537</v>
      </c>
      <c r="AX30" s="98" t="s">
        <v>537</v>
      </c>
      <c r="AY30" s="98" t="s">
        <v>537</v>
      </c>
      <c r="AZ30" s="98" t="s">
        <v>537</v>
      </c>
      <c r="BA30" s="100" t="s">
        <v>537</v>
      </c>
      <c r="BB30" s="100" t="s">
        <v>537</v>
      </c>
      <c r="BC30" s="100" t="s">
        <v>537</v>
      </c>
      <c r="BD30" s="158">
        <v>0.3507718277</v>
      </c>
      <c r="BE30" s="158">
        <v>1.2572760010000001</v>
      </c>
      <c r="BF30" s="162">
        <v>96</v>
      </c>
      <c r="BG30" s="162">
        <v>15</v>
      </c>
      <c r="BH30" s="162">
        <v>409</v>
      </c>
      <c r="BI30" s="162">
        <v>61</v>
      </c>
      <c r="BJ30" s="162">
        <v>33</v>
      </c>
      <c r="BK30" s="97"/>
      <c r="BL30" s="97"/>
      <c r="BM30" s="97"/>
      <c r="BN30" s="97"/>
    </row>
    <row r="31" spans="1:66" ht="12.75">
      <c r="A31" s="79" t="s">
        <v>513</v>
      </c>
      <c r="B31" s="79" t="s">
        <v>296</v>
      </c>
      <c r="C31" s="79" t="s">
        <v>98</v>
      </c>
      <c r="D31" s="99">
        <v>3324</v>
      </c>
      <c r="E31" s="99">
        <v>353</v>
      </c>
      <c r="F31" s="99" t="s">
        <v>332</v>
      </c>
      <c r="G31" s="99">
        <v>9</v>
      </c>
      <c r="H31" s="99" t="s">
        <v>537</v>
      </c>
      <c r="I31" s="99">
        <v>34</v>
      </c>
      <c r="J31" s="99">
        <v>250</v>
      </c>
      <c r="K31" s="99" t="s">
        <v>537</v>
      </c>
      <c r="L31" s="99">
        <v>624</v>
      </c>
      <c r="M31" s="99">
        <v>136</v>
      </c>
      <c r="N31" s="99">
        <v>76</v>
      </c>
      <c r="O31" s="99">
        <v>55</v>
      </c>
      <c r="P31" s="159">
        <v>55</v>
      </c>
      <c r="Q31" s="99" t="s">
        <v>537</v>
      </c>
      <c r="R31" s="99">
        <v>13</v>
      </c>
      <c r="S31" s="99">
        <v>12</v>
      </c>
      <c r="T31" s="99">
        <v>8</v>
      </c>
      <c r="U31" s="99" t="s">
        <v>537</v>
      </c>
      <c r="V31" s="99">
        <v>11</v>
      </c>
      <c r="W31" s="99">
        <v>15</v>
      </c>
      <c r="X31" s="99">
        <v>22</v>
      </c>
      <c r="Y31" s="99">
        <v>44</v>
      </c>
      <c r="Z31" s="99">
        <v>13</v>
      </c>
      <c r="AA31" s="99" t="s">
        <v>537</v>
      </c>
      <c r="AB31" s="99" t="s">
        <v>537</v>
      </c>
      <c r="AC31" s="99" t="s">
        <v>537</v>
      </c>
      <c r="AD31" s="98" t="s">
        <v>312</v>
      </c>
      <c r="AE31" s="100">
        <v>0.10619735258724429</v>
      </c>
      <c r="AF31" s="100">
        <v>0.18</v>
      </c>
      <c r="AG31" s="98">
        <v>270.7581227436823</v>
      </c>
      <c r="AH31" s="98" t="s">
        <v>537</v>
      </c>
      <c r="AI31" s="100">
        <v>0.01</v>
      </c>
      <c r="AJ31" s="100">
        <v>0.712251</v>
      </c>
      <c r="AK31" s="100" t="s">
        <v>537</v>
      </c>
      <c r="AL31" s="100">
        <v>0.865465</v>
      </c>
      <c r="AM31" s="100">
        <v>0.433121</v>
      </c>
      <c r="AN31" s="100">
        <v>0.487179</v>
      </c>
      <c r="AO31" s="98">
        <v>1654.632972322503</v>
      </c>
      <c r="AP31" s="158">
        <v>1.140531158</v>
      </c>
      <c r="AQ31" s="100" t="s">
        <v>537</v>
      </c>
      <c r="AR31" s="100" t="s">
        <v>537</v>
      </c>
      <c r="AS31" s="98">
        <v>361.01083032490976</v>
      </c>
      <c r="AT31" s="98">
        <v>240.67388688327316</v>
      </c>
      <c r="AU31" s="98" t="s">
        <v>537</v>
      </c>
      <c r="AV31" s="98">
        <v>330.9265944645006</v>
      </c>
      <c r="AW31" s="98">
        <v>451.2635379061372</v>
      </c>
      <c r="AX31" s="98">
        <v>661.8531889290012</v>
      </c>
      <c r="AY31" s="98">
        <v>1323.7063778580025</v>
      </c>
      <c r="AZ31" s="98">
        <v>391.0950661853189</v>
      </c>
      <c r="BA31" s="100" t="s">
        <v>537</v>
      </c>
      <c r="BB31" s="100" t="s">
        <v>537</v>
      </c>
      <c r="BC31" s="100" t="s">
        <v>537</v>
      </c>
      <c r="BD31" s="158">
        <v>0.8592041016</v>
      </c>
      <c r="BE31" s="158">
        <v>1.484558105</v>
      </c>
      <c r="BF31" s="162">
        <v>351</v>
      </c>
      <c r="BG31" s="162" t="s">
        <v>537</v>
      </c>
      <c r="BH31" s="162">
        <v>721</v>
      </c>
      <c r="BI31" s="162">
        <v>314</v>
      </c>
      <c r="BJ31" s="162">
        <v>156</v>
      </c>
      <c r="BK31" s="97"/>
      <c r="BL31" s="97"/>
      <c r="BM31" s="97"/>
      <c r="BN31" s="97"/>
    </row>
    <row r="32" spans="1:66" ht="12.75">
      <c r="A32" s="79" t="s">
        <v>517</v>
      </c>
      <c r="B32" s="79" t="s">
        <v>300</v>
      </c>
      <c r="C32" s="79" t="s">
        <v>98</v>
      </c>
      <c r="D32" s="99">
        <v>9845</v>
      </c>
      <c r="E32" s="99">
        <v>1159</v>
      </c>
      <c r="F32" s="99" t="s">
        <v>332</v>
      </c>
      <c r="G32" s="99">
        <v>26</v>
      </c>
      <c r="H32" s="99">
        <v>16</v>
      </c>
      <c r="I32" s="99">
        <v>63</v>
      </c>
      <c r="J32" s="99">
        <v>534</v>
      </c>
      <c r="K32" s="99">
        <v>10</v>
      </c>
      <c r="L32" s="99">
        <v>1762</v>
      </c>
      <c r="M32" s="99">
        <v>319</v>
      </c>
      <c r="N32" s="99">
        <v>180</v>
      </c>
      <c r="O32" s="99">
        <v>171</v>
      </c>
      <c r="P32" s="159">
        <v>171</v>
      </c>
      <c r="Q32" s="99">
        <v>12</v>
      </c>
      <c r="R32" s="99">
        <v>30</v>
      </c>
      <c r="S32" s="99">
        <v>34</v>
      </c>
      <c r="T32" s="99">
        <v>30</v>
      </c>
      <c r="U32" s="99">
        <v>16</v>
      </c>
      <c r="V32" s="99">
        <v>24</v>
      </c>
      <c r="W32" s="99">
        <v>35</v>
      </c>
      <c r="X32" s="99">
        <v>37</v>
      </c>
      <c r="Y32" s="99">
        <v>92</v>
      </c>
      <c r="Z32" s="99">
        <v>46</v>
      </c>
      <c r="AA32" s="99" t="s">
        <v>537</v>
      </c>
      <c r="AB32" s="99" t="s">
        <v>537</v>
      </c>
      <c r="AC32" s="99" t="s">
        <v>537</v>
      </c>
      <c r="AD32" s="98" t="s">
        <v>312</v>
      </c>
      <c r="AE32" s="100">
        <v>0.11772473336719147</v>
      </c>
      <c r="AF32" s="100">
        <v>0.2</v>
      </c>
      <c r="AG32" s="98">
        <v>264.09344845099037</v>
      </c>
      <c r="AH32" s="98">
        <v>162.51904520060944</v>
      </c>
      <c r="AI32" s="100">
        <v>0.006</v>
      </c>
      <c r="AJ32" s="100">
        <v>0.641827</v>
      </c>
      <c r="AK32" s="100">
        <v>0.37037</v>
      </c>
      <c r="AL32" s="100">
        <v>0.711919</v>
      </c>
      <c r="AM32" s="100">
        <v>0.370499</v>
      </c>
      <c r="AN32" s="100">
        <v>0.410959</v>
      </c>
      <c r="AO32" s="98">
        <v>1736.9222955815135</v>
      </c>
      <c r="AP32" s="158">
        <v>1.100060883</v>
      </c>
      <c r="AQ32" s="100">
        <v>0.07017543859649122</v>
      </c>
      <c r="AR32" s="100">
        <v>0.4</v>
      </c>
      <c r="AS32" s="98">
        <v>345.35297105129507</v>
      </c>
      <c r="AT32" s="98">
        <v>304.7232097511427</v>
      </c>
      <c r="AU32" s="98">
        <v>162.51904520060944</v>
      </c>
      <c r="AV32" s="98">
        <v>243.77856780091417</v>
      </c>
      <c r="AW32" s="98">
        <v>355.51041137633314</v>
      </c>
      <c r="AX32" s="98">
        <v>375.82529202640933</v>
      </c>
      <c r="AY32" s="98">
        <v>934.4845099035043</v>
      </c>
      <c r="AZ32" s="98">
        <v>467.24225495175216</v>
      </c>
      <c r="BA32" s="100" t="s">
        <v>537</v>
      </c>
      <c r="BB32" s="100" t="s">
        <v>537</v>
      </c>
      <c r="BC32" s="100" t="s">
        <v>537</v>
      </c>
      <c r="BD32" s="158">
        <v>0.9413564300999999</v>
      </c>
      <c r="BE32" s="158">
        <v>1.2778612520000001</v>
      </c>
      <c r="BF32" s="162">
        <v>832</v>
      </c>
      <c r="BG32" s="162">
        <v>27</v>
      </c>
      <c r="BH32" s="162">
        <v>2475</v>
      </c>
      <c r="BI32" s="162">
        <v>861</v>
      </c>
      <c r="BJ32" s="162">
        <v>438</v>
      </c>
      <c r="BK32" s="97"/>
      <c r="BL32" s="97"/>
      <c r="BM32" s="97"/>
      <c r="BN32" s="97"/>
    </row>
    <row r="33" spans="1:66" ht="12.75">
      <c r="A33" s="79" t="s">
        <v>506</v>
      </c>
      <c r="B33" s="79" t="s">
        <v>289</v>
      </c>
      <c r="C33" s="79" t="s">
        <v>98</v>
      </c>
      <c r="D33" s="99">
        <v>4433</v>
      </c>
      <c r="E33" s="99">
        <v>949</v>
      </c>
      <c r="F33" s="99" t="s">
        <v>335</v>
      </c>
      <c r="G33" s="99">
        <v>30</v>
      </c>
      <c r="H33" s="99">
        <v>14</v>
      </c>
      <c r="I33" s="99">
        <v>76</v>
      </c>
      <c r="J33" s="99">
        <v>370</v>
      </c>
      <c r="K33" s="99" t="s">
        <v>537</v>
      </c>
      <c r="L33" s="99">
        <v>744</v>
      </c>
      <c r="M33" s="99">
        <v>245</v>
      </c>
      <c r="N33" s="99">
        <v>116</v>
      </c>
      <c r="O33" s="99">
        <v>76</v>
      </c>
      <c r="P33" s="159">
        <v>76</v>
      </c>
      <c r="Q33" s="99" t="s">
        <v>537</v>
      </c>
      <c r="R33" s="99">
        <v>21</v>
      </c>
      <c r="S33" s="99">
        <v>9</v>
      </c>
      <c r="T33" s="99">
        <v>24</v>
      </c>
      <c r="U33" s="99" t="s">
        <v>537</v>
      </c>
      <c r="V33" s="99">
        <v>7</v>
      </c>
      <c r="W33" s="99">
        <v>33</v>
      </c>
      <c r="X33" s="99">
        <v>51</v>
      </c>
      <c r="Y33" s="99">
        <v>51</v>
      </c>
      <c r="Z33" s="99">
        <v>40</v>
      </c>
      <c r="AA33" s="99" t="s">
        <v>537</v>
      </c>
      <c r="AB33" s="99" t="s">
        <v>537</v>
      </c>
      <c r="AC33" s="99" t="s">
        <v>537</v>
      </c>
      <c r="AD33" s="98" t="s">
        <v>312</v>
      </c>
      <c r="AE33" s="100">
        <v>0.21407624633431085</v>
      </c>
      <c r="AF33" s="100">
        <v>0.17</v>
      </c>
      <c r="AG33" s="98">
        <v>676.7426122264832</v>
      </c>
      <c r="AH33" s="98">
        <v>315.8132190390255</v>
      </c>
      <c r="AI33" s="100">
        <v>0.017</v>
      </c>
      <c r="AJ33" s="100">
        <v>0.755102</v>
      </c>
      <c r="AK33" s="100" t="s">
        <v>537</v>
      </c>
      <c r="AL33" s="100">
        <v>0.727984</v>
      </c>
      <c r="AM33" s="100">
        <v>0.510417</v>
      </c>
      <c r="AN33" s="100">
        <v>0.515556</v>
      </c>
      <c r="AO33" s="98">
        <v>1714.414617640424</v>
      </c>
      <c r="AP33" s="158">
        <v>0.8289090729</v>
      </c>
      <c r="AQ33" s="100" t="s">
        <v>537</v>
      </c>
      <c r="AR33" s="100" t="s">
        <v>537</v>
      </c>
      <c r="AS33" s="98">
        <v>203.02278366794496</v>
      </c>
      <c r="AT33" s="98">
        <v>541.3940897811866</v>
      </c>
      <c r="AU33" s="98" t="s">
        <v>537</v>
      </c>
      <c r="AV33" s="98">
        <v>157.90660951951276</v>
      </c>
      <c r="AW33" s="98">
        <v>744.4168734491315</v>
      </c>
      <c r="AX33" s="98">
        <v>1150.4624407850215</v>
      </c>
      <c r="AY33" s="98">
        <v>1150.4624407850215</v>
      </c>
      <c r="AZ33" s="98">
        <v>902.3234829686443</v>
      </c>
      <c r="BA33" s="100" t="s">
        <v>537</v>
      </c>
      <c r="BB33" s="100" t="s">
        <v>537</v>
      </c>
      <c r="BC33" s="100" t="s">
        <v>537</v>
      </c>
      <c r="BD33" s="158">
        <v>0.6530860901</v>
      </c>
      <c r="BE33" s="158">
        <v>1.037503281</v>
      </c>
      <c r="BF33" s="162">
        <v>490</v>
      </c>
      <c r="BG33" s="162" t="s">
        <v>537</v>
      </c>
      <c r="BH33" s="162">
        <v>1022</v>
      </c>
      <c r="BI33" s="162">
        <v>480</v>
      </c>
      <c r="BJ33" s="162">
        <v>225</v>
      </c>
      <c r="BK33" s="97"/>
      <c r="BL33" s="97"/>
      <c r="BM33" s="97"/>
      <c r="BN33" s="97"/>
    </row>
    <row r="34" spans="1:66" ht="12.75">
      <c r="A34" s="79" t="s">
        <v>515</v>
      </c>
      <c r="B34" s="79" t="s">
        <v>298</v>
      </c>
      <c r="C34" s="79" t="s">
        <v>98</v>
      </c>
      <c r="D34" s="99">
        <v>7814</v>
      </c>
      <c r="E34" s="99">
        <v>890</v>
      </c>
      <c r="F34" s="99" t="s">
        <v>335</v>
      </c>
      <c r="G34" s="99">
        <v>31</v>
      </c>
      <c r="H34" s="99">
        <v>15</v>
      </c>
      <c r="I34" s="99">
        <v>89</v>
      </c>
      <c r="J34" s="99">
        <v>500</v>
      </c>
      <c r="K34" s="99">
        <v>8</v>
      </c>
      <c r="L34" s="99">
        <v>1552</v>
      </c>
      <c r="M34" s="99">
        <v>308</v>
      </c>
      <c r="N34" s="99">
        <v>151</v>
      </c>
      <c r="O34" s="99">
        <v>117</v>
      </c>
      <c r="P34" s="159">
        <v>117</v>
      </c>
      <c r="Q34" s="99">
        <v>11</v>
      </c>
      <c r="R34" s="99">
        <v>21</v>
      </c>
      <c r="S34" s="99">
        <v>20</v>
      </c>
      <c r="T34" s="99">
        <v>24</v>
      </c>
      <c r="U34" s="99">
        <v>9</v>
      </c>
      <c r="V34" s="99">
        <v>17</v>
      </c>
      <c r="W34" s="99">
        <v>22</v>
      </c>
      <c r="X34" s="99">
        <v>30</v>
      </c>
      <c r="Y34" s="99">
        <v>48</v>
      </c>
      <c r="Z34" s="99">
        <v>39</v>
      </c>
      <c r="AA34" s="99" t="s">
        <v>537</v>
      </c>
      <c r="AB34" s="99" t="s">
        <v>537</v>
      </c>
      <c r="AC34" s="99" t="s">
        <v>537</v>
      </c>
      <c r="AD34" s="98" t="s">
        <v>312</v>
      </c>
      <c r="AE34" s="100">
        <v>0.11389813155874072</v>
      </c>
      <c r="AF34" s="100">
        <v>0.16</v>
      </c>
      <c r="AG34" s="98">
        <v>396.72382902482724</v>
      </c>
      <c r="AH34" s="98">
        <v>191.96314307652932</v>
      </c>
      <c r="AI34" s="100">
        <v>0.011000000000000001</v>
      </c>
      <c r="AJ34" s="100">
        <v>0.677507</v>
      </c>
      <c r="AK34" s="100">
        <v>0.615385</v>
      </c>
      <c r="AL34" s="100">
        <v>0.781864</v>
      </c>
      <c r="AM34" s="100">
        <v>0.477519</v>
      </c>
      <c r="AN34" s="100">
        <v>0.515358</v>
      </c>
      <c r="AO34" s="98">
        <v>1497.3125159969286</v>
      </c>
      <c r="AP34" s="158">
        <v>0.9600304413</v>
      </c>
      <c r="AQ34" s="100">
        <v>0.09401709401709402</v>
      </c>
      <c r="AR34" s="100">
        <v>0.5238095238095238</v>
      </c>
      <c r="AS34" s="98">
        <v>255.9508574353724</v>
      </c>
      <c r="AT34" s="98">
        <v>307.1410289224469</v>
      </c>
      <c r="AU34" s="98">
        <v>115.17788584591759</v>
      </c>
      <c r="AV34" s="98">
        <v>217.55822882006655</v>
      </c>
      <c r="AW34" s="98">
        <v>281.5459431789096</v>
      </c>
      <c r="AX34" s="98">
        <v>383.92628615305864</v>
      </c>
      <c r="AY34" s="98">
        <v>614.2820578448938</v>
      </c>
      <c r="AZ34" s="98">
        <v>499.1041719989762</v>
      </c>
      <c r="BA34" s="100" t="s">
        <v>537</v>
      </c>
      <c r="BB34" s="100" t="s">
        <v>537</v>
      </c>
      <c r="BC34" s="100" t="s">
        <v>537</v>
      </c>
      <c r="BD34" s="158">
        <v>0.7939713287</v>
      </c>
      <c r="BE34" s="158">
        <v>1.150571289</v>
      </c>
      <c r="BF34" s="162">
        <v>738</v>
      </c>
      <c r="BG34" s="162">
        <v>13</v>
      </c>
      <c r="BH34" s="162">
        <v>1985</v>
      </c>
      <c r="BI34" s="162">
        <v>645</v>
      </c>
      <c r="BJ34" s="162">
        <v>293</v>
      </c>
      <c r="BK34" s="97"/>
      <c r="BL34" s="97"/>
      <c r="BM34" s="97"/>
      <c r="BN34" s="97"/>
    </row>
    <row r="35" spans="1:66" ht="12.75">
      <c r="A35" s="79" t="s">
        <v>529</v>
      </c>
      <c r="B35" s="79" t="s">
        <v>495</v>
      </c>
      <c r="C35" s="79" t="s">
        <v>98</v>
      </c>
      <c r="D35" s="99">
        <v>1331</v>
      </c>
      <c r="E35" s="99">
        <v>122</v>
      </c>
      <c r="F35" s="99" t="s">
        <v>333</v>
      </c>
      <c r="G35" s="99" t="s">
        <v>537</v>
      </c>
      <c r="H35" s="99" t="s">
        <v>537</v>
      </c>
      <c r="I35" s="99">
        <v>5</v>
      </c>
      <c r="J35" s="99">
        <v>42</v>
      </c>
      <c r="K35" s="99">
        <v>7</v>
      </c>
      <c r="L35" s="99">
        <v>248</v>
      </c>
      <c r="M35" s="99">
        <v>11</v>
      </c>
      <c r="N35" s="99">
        <v>8</v>
      </c>
      <c r="O35" s="99">
        <v>11</v>
      </c>
      <c r="P35" s="159">
        <v>11</v>
      </c>
      <c r="Q35" s="99" t="s">
        <v>537</v>
      </c>
      <c r="R35" s="99" t="s">
        <v>537</v>
      </c>
      <c r="S35" s="99" t="s">
        <v>537</v>
      </c>
      <c r="T35" s="99" t="s">
        <v>537</v>
      </c>
      <c r="U35" s="99" t="s">
        <v>537</v>
      </c>
      <c r="V35" s="99" t="s">
        <v>537</v>
      </c>
      <c r="W35" s="99" t="s">
        <v>537</v>
      </c>
      <c r="X35" s="99">
        <v>7</v>
      </c>
      <c r="Y35" s="99">
        <v>20</v>
      </c>
      <c r="Z35" s="99">
        <v>13</v>
      </c>
      <c r="AA35" s="99" t="s">
        <v>537</v>
      </c>
      <c r="AB35" s="99" t="s">
        <v>537</v>
      </c>
      <c r="AC35" s="99" t="s">
        <v>537</v>
      </c>
      <c r="AD35" s="98" t="s">
        <v>312</v>
      </c>
      <c r="AE35" s="100">
        <v>0.09166040570999248</v>
      </c>
      <c r="AF35" s="100">
        <v>0.28</v>
      </c>
      <c r="AG35" s="98" t="s">
        <v>537</v>
      </c>
      <c r="AH35" s="98" t="s">
        <v>537</v>
      </c>
      <c r="AI35" s="100">
        <v>0.004</v>
      </c>
      <c r="AJ35" s="100">
        <v>0.56</v>
      </c>
      <c r="AK35" s="100">
        <v>0.636364</v>
      </c>
      <c r="AL35" s="100">
        <v>0.742515</v>
      </c>
      <c r="AM35" s="100">
        <v>0.255814</v>
      </c>
      <c r="AN35" s="100">
        <v>0.285714</v>
      </c>
      <c r="AO35" s="98">
        <v>826.4462809917355</v>
      </c>
      <c r="AP35" s="158">
        <v>0.6382002640000001</v>
      </c>
      <c r="AQ35" s="100" t="s">
        <v>537</v>
      </c>
      <c r="AR35" s="100" t="s">
        <v>537</v>
      </c>
      <c r="AS35" s="98" t="s">
        <v>537</v>
      </c>
      <c r="AT35" s="98" t="s">
        <v>537</v>
      </c>
      <c r="AU35" s="98" t="s">
        <v>537</v>
      </c>
      <c r="AV35" s="98" t="s">
        <v>537</v>
      </c>
      <c r="AW35" s="98" t="s">
        <v>537</v>
      </c>
      <c r="AX35" s="98">
        <v>525.9203606311045</v>
      </c>
      <c r="AY35" s="98">
        <v>1502.6296018031555</v>
      </c>
      <c r="AZ35" s="98">
        <v>976.7092411720511</v>
      </c>
      <c r="BA35" s="100" t="s">
        <v>537</v>
      </c>
      <c r="BB35" s="100" t="s">
        <v>537</v>
      </c>
      <c r="BC35" s="100" t="s">
        <v>537</v>
      </c>
      <c r="BD35" s="158">
        <v>0.318587265</v>
      </c>
      <c r="BE35" s="158">
        <v>1.14191658</v>
      </c>
      <c r="BF35" s="162">
        <v>75</v>
      </c>
      <c r="BG35" s="162">
        <v>11</v>
      </c>
      <c r="BH35" s="162">
        <v>334</v>
      </c>
      <c r="BI35" s="162">
        <v>43</v>
      </c>
      <c r="BJ35" s="162">
        <v>28</v>
      </c>
      <c r="BK35" s="97"/>
      <c r="BL35" s="97"/>
      <c r="BM35" s="97"/>
      <c r="BN35" s="97"/>
    </row>
    <row r="36" spans="1:66" ht="12.75">
      <c r="A36" s="79" t="s">
        <v>379</v>
      </c>
      <c r="B36" s="94" t="s">
        <v>98</v>
      </c>
      <c r="C36" s="94" t="s">
        <v>7</v>
      </c>
      <c r="D36" s="99">
        <v>208442</v>
      </c>
      <c r="E36" s="99">
        <v>23917</v>
      </c>
      <c r="F36" s="99">
        <v>41547.16999999999</v>
      </c>
      <c r="G36" s="99">
        <v>674</v>
      </c>
      <c r="H36" s="99">
        <v>350</v>
      </c>
      <c r="I36" s="99">
        <v>2223</v>
      </c>
      <c r="J36" s="99">
        <v>13125</v>
      </c>
      <c r="K36" s="99">
        <v>5289</v>
      </c>
      <c r="L36" s="99">
        <v>36868</v>
      </c>
      <c r="M36" s="99">
        <v>7288</v>
      </c>
      <c r="N36" s="99">
        <v>3821</v>
      </c>
      <c r="O36" s="99">
        <v>2073</v>
      </c>
      <c r="P36" s="99">
        <v>2073</v>
      </c>
      <c r="Q36" s="99">
        <v>213</v>
      </c>
      <c r="R36" s="99">
        <v>604</v>
      </c>
      <c r="S36" s="99">
        <v>402</v>
      </c>
      <c r="T36" s="99">
        <v>346</v>
      </c>
      <c r="U36" s="99">
        <v>138</v>
      </c>
      <c r="V36" s="99">
        <v>288</v>
      </c>
      <c r="W36" s="99">
        <v>682</v>
      </c>
      <c r="X36" s="99">
        <v>717</v>
      </c>
      <c r="Y36" s="99">
        <v>1600</v>
      </c>
      <c r="Z36" s="99">
        <v>968</v>
      </c>
      <c r="AA36" s="99">
        <v>0</v>
      </c>
      <c r="AB36" s="99">
        <v>0</v>
      </c>
      <c r="AC36" s="99">
        <v>0</v>
      </c>
      <c r="AD36" s="98">
        <v>0</v>
      </c>
      <c r="AE36" s="101">
        <v>0.1147417507028334</v>
      </c>
      <c r="AF36" s="101">
        <v>0.1993224494103875</v>
      </c>
      <c r="AG36" s="98">
        <v>323.35133994108674</v>
      </c>
      <c r="AH36" s="98">
        <v>167.91241688335364</v>
      </c>
      <c r="AI36" s="101">
        <v>0.010664837220905575</v>
      </c>
      <c r="AJ36" s="101">
        <v>0.7109967497291441</v>
      </c>
      <c r="AK36" s="101">
        <v>0.7252159605100782</v>
      </c>
      <c r="AL36" s="101">
        <v>0.732525332803497</v>
      </c>
      <c r="AM36" s="101">
        <v>0.4679894689526745</v>
      </c>
      <c r="AN36" s="101">
        <v>0.5005895453949954</v>
      </c>
      <c r="AO36" s="98">
        <v>994.5212577119775</v>
      </c>
      <c r="AP36" s="98">
        <v>0</v>
      </c>
      <c r="AQ36" s="101">
        <v>0.10274963820549927</v>
      </c>
      <c r="AR36" s="101">
        <v>0.3526490066225166</v>
      </c>
      <c r="AS36" s="98">
        <v>192.85940453459474</v>
      </c>
      <c r="AT36" s="98">
        <v>165.99341783325818</v>
      </c>
      <c r="AU36" s="98">
        <v>66.20546722829373</v>
      </c>
      <c r="AV36" s="98">
        <v>138.16793160687385</v>
      </c>
      <c r="AW36" s="98">
        <v>327.18933804127767</v>
      </c>
      <c r="AX36" s="98">
        <v>343.98057972961305</v>
      </c>
      <c r="AY36" s="98">
        <v>767.599620038188</v>
      </c>
      <c r="AZ36" s="98">
        <v>464.3977701231038</v>
      </c>
      <c r="BA36" s="101">
        <v>0</v>
      </c>
      <c r="BB36" s="101">
        <v>0</v>
      </c>
      <c r="BC36" s="101">
        <v>0</v>
      </c>
      <c r="BD36" s="98">
        <v>0</v>
      </c>
      <c r="BE36" s="98">
        <v>0</v>
      </c>
      <c r="BF36" s="99">
        <v>18460</v>
      </c>
      <c r="BG36" s="99">
        <v>7293</v>
      </c>
      <c r="BH36" s="99">
        <v>50330</v>
      </c>
      <c r="BI36" s="99">
        <v>15573</v>
      </c>
      <c r="BJ36" s="99">
        <v>7633</v>
      </c>
      <c r="BK36" s="97"/>
      <c r="BL36" s="97"/>
      <c r="BM36" s="97"/>
      <c r="BN36" s="97"/>
    </row>
    <row r="37" spans="1:66" ht="12.75">
      <c r="A37" s="79" t="s">
        <v>24</v>
      </c>
      <c r="B37" s="94" t="s">
        <v>7</v>
      </c>
      <c r="C37" s="94" t="s">
        <v>7</v>
      </c>
      <c r="D37" s="99">
        <v>54615830</v>
      </c>
      <c r="E37" s="99">
        <v>8737890</v>
      </c>
      <c r="F37" s="99">
        <v>8198344.169999988</v>
      </c>
      <c r="G37" s="99">
        <v>243379</v>
      </c>
      <c r="H37" s="99">
        <v>127868</v>
      </c>
      <c r="I37" s="99">
        <v>870616</v>
      </c>
      <c r="J37" s="99">
        <v>4592627</v>
      </c>
      <c r="K37" s="99">
        <v>1679592</v>
      </c>
      <c r="L37" s="99">
        <v>10150944</v>
      </c>
      <c r="M37" s="99">
        <v>2959539</v>
      </c>
      <c r="N37" s="99">
        <v>1629320</v>
      </c>
      <c r="O37" s="99">
        <v>989730</v>
      </c>
      <c r="P37" s="99">
        <v>989730</v>
      </c>
      <c r="Q37" s="99">
        <v>108072</v>
      </c>
      <c r="R37" s="99">
        <v>238330</v>
      </c>
      <c r="S37" s="99">
        <v>206300</v>
      </c>
      <c r="T37" s="99">
        <v>154264</v>
      </c>
      <c r="U37" s="99">
        <v>38486</v>
      </c>
      <c r="V37" s="99">
        <v>176535</v>
      </c>
      <c r="W37" s="99">
        <v>307276</v>
      </c>
      <c r="X37" s="99">
        <v>221506</v>
      </c>
      <c r="Y37" s="99">
        <v>578574</v>
      </c>
      <c r="Z37" s="99">
        <v>318377</v>
      </c>
      <c r="AA37" s="99">
        <v>0</v>
      </c>
      <c r="AB37" s="99">
        <v>0</v>
      </c>
      <c r="AC37" s="99">
        <v>0</v>
      </c>
      <c r="AD37" s="98">
        <v>0</v>
      </c>
      <c r="AE37" s="101">
        <v>0.1599882305185145</v>
      </c>
      <c r="AF37" s="101">
        <v>0.15010930292554353</v>
      </c>
      <c r="AG37" s="98">
        <v>445.6198871279627</v>
      </c>
      <c r="AH37" s="98">
        <v>234.12259778895606</v>
      </c>
      <c r="AI37" s="101">
        <v>0.015940726342527432</v>
      </c>
      <c r="AJ37" s="101">
        <v>0.7248631360507991</v>
      </c>
      <c r="AK37" s="101">
        <v>0.7467412166569077</v>
      </c>
      <c r="AL37" s="101">
        <v>0.7559681673907895</v>
      </c>
      <c r="AM37" s="101">
        <v>0.5147293797466616</v>
      </c>
      <c r="AN37" s="101">
        <v>0.5752927626212945</v>
      </c>
      <c r="AO37" s="98">
        <v>1812.1669120472948</v>
      </c>
      <c r="AP37" s="98">
        <v>1</v>
      </c>
      <c r="AQ37" s="101">
        <v>0.10919341638628717</v>
      </c>
      <c r="AR37" s="101">
        <v>0.4534552930810221</v>
      </c>
      <c r="AS37" s="98">
        <v>377.7293140102421</v>
      </c>
      <c r="AT37" s="98">
        <v>282.45290788403287</v>
      </c>
      <c r="AU37" s="98">
        <v>70.46674929228394</v>
      </c>
      <c r="AV37" s="98">
        <v>323.23046266988894</v>
      </c>
      <c r="AW37" s="98">
        <v>562.6134400960308</v>
      </c>
      <c r="AX37" s="98">
        <v>405.57105879375996</v>
      </c>
      <c r="AY37" s="98">
        <v>1059.3522061277838</v>
      </c>
      <c r="AZ37" s="98">
        <v>582.9390489900089</v>
      </c>
      <c r="BA37" s="101">
        <v>0</v>
      </c>
      <c r="BB37" s="101">
        <v>0</v>
      </c>
      <c r="BC37" s="101">
        <v>0</v>
      </c>
      <c r="BD37" s="98">
        <v>0</v>
      </c>
      <c r="BE37" s="98">
        <v>0</v>
      </c>
      <c r="BF37" s="99">
        <v>6335854</v>
      </c>
      <c r="BG37" s="99">
        <v>2249229</v>
      </c>
      <c r="BH37" s="99">
        <v>13427740</v>
      </c>
      <c r="BI37" s="99">
        <v>5749699</v>
      </c>
      <c r="BJ37" s="99">
        <v>2832158</v>
      </c>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2"/>
      <c r="BB39" s="302"/>
      <c r="BC39" s="302"/>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443</v>
      </c>
      <c r="Q4" s="75" t="s">
        <v>444</v>
      </c>
      <c r="R4" s="75" t="s">
        <v>445</v>
      </c>
      <c r="S4" s="75" t="s">
        <v>446</v>
      </c>
      <c r="T4" s="39" t="s">
        <v>278</v>
      </c>
      <c r="U4" s="40" t="s">
        <v>279</v>
      </c>
      <c r="V4" s="41" t="s">
        <v>7</v>
      </c>
      <c r="W4" s="24" t="s">
        <v>2</v>
      </c>
      <c r="X4" s="24" t="s">
        <v>3</v>
      </c>
      <c r="Y4" s="75" t="s">
        <v>542</v>
      </c>
      <c r="Z4" s="75" t="s">
        <v>541</v>
      </c>
      <c r="AA4" s="26" t="s">
        <v>280</v>
      </c>
      <c r="AB4" s="24" t="s">
        <v>5</v>
      </c>
      <c r="AC4" s="75" t="s">
        <v>35</v>
      </c>
      <c r="AD4" s="24" t="s">
        <v>6</v>
      </c>
      <c r="AE4" s="24" t="s">
        <v>281</v>
      </c>
      <c r="AF4" s="24" t="s">
        <v>16</v>
      </c>
      <c r="AG4" s="24" t="s">
        <v>15</v>
      </c>
      <c r="AH4" s="24" t="s">
        <v>14</v>
      </c>
      <c r="AI4" s="25" t="s">
        <v>30</v>
      </c>
      <c r="AJ4" s="47" t="s">
        <v>10</v>
      </c>
      <c r="AK4" s="26" t="s">
        <v>21</v>
      </c>
      <c r="AL4" s="25" t="s">
        <v>22</v>
      </c>
      <c r="AQ4" s="102" t="s">
        <v>358</v>
      </c>
      <c r="AR4" s="102" t="s">
        <v>360</v>
      </c>
      <c r="AS4" s="102" t="s">
        <v>359</v>
      </c>
      <c r="AY4" s="102" t="s">
        <v>440</v>
      </c>
      <c r="AZ4" s="102" t="s">
        <v>441</v>
      </c>
      <c r="BA4" s="102" t="s">
        <v>442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381</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366</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964</v>
      </c>
      <c r="E7" s="38">
        <f>IF(LEFT(VLOOKUP($B7,'Indicator chart'!$D$1:$J$36,5,FALSE),1)=" "," ",VLOOKUP($B7,'Indicator chart'!$D$1:$J$36,5,FALSE))</f>
        <v>0.15154849866373213</v>
      </c>
      <c r="F7" s="38">
        <f>IF(LEFT(VLOOKUP($B7,'Indicator chart'!$D$1:$J$36,6,FALSE),1)=" "," ",VLOOKUP($B7,'Indicator chart'!$D$1:$J$36,6,FALSE))</f>
        <v>0.14294679500308002</v>
      </c>
      <c r="G7" s="38">
        <f>IF(LEFT(VLOOKUP($B7,'Indicator chart'!$D$1:$J$36,7,FALSE),1)=" "," ",VLOOKUP($B7,'Indicator chart'!$D$1:$J$36,7,FALSE))</f>
        <v>0.16057082906473655</v>
      </c>
      <c r="H7" s="50">
        <f aca="true" t="shared" si="0" ref="H7:H31">IF(LEFT(F7,1)=" ",4,IF(AND(ABS(N7-E7)&gt;SQRT((E7-G7)^2+(N7-R7)^2),E7&lt;N7),1,IF(AND(ABS(N7-E7)&gt;SQRT((E7-F7)^2+(N7-S7)^2),E7&gt;N7),3,2)))</f>
        <v>3</v>
      </c>
      <c r="I7" s="38">
        <v>0.014975042082369328</v>
      </c>
      <c r="J7" s="38">
        <v>0.07218436151742935</v>
      </c>
      <c r="K7" s="38">
        <v>0.10377583652734756</v>
      </c>
      <c r="L7" s="38">
        <v>0.13875225186347961</v>
      </c>
      <c r="M7" s="38">
        <v>0.21407625079154968</v>
      </c>
      <c r="N7" s="80">
        <f>VLOOKUP('Hide - Control'!B$3,'All practice data'!A:CA,A7+29,FALSE)</f>
        <v>0.1147417507028334</v>
      </c>
      <c r="O7" s="80">
        <f>VLOOKUP('Hide - Control'!C$3,'All practice data'!A:CA,A7+29,FALSE)</f>
        <v>0.1599882305185145</v>
      </c>
      <c r="P7" s="38">
        <f>VLOOKUP('Hide - Control'!$B$4,'All practice data'!B:BC,A7+2,FALSE)</f>
        <v>23917</v>
      </c>
      <c r="Q7" s="38">
        <f>VLOOKUP('Hide - Control'!$B$4,'All practice data'!B:BC,3,FALSE)</f>
        <v>208442</v>
      </c>
      <c r="R7" s="38">
        <f>+((2*P7+1.96^2-1.96*SQRT(1.96^2+4*P7*(1-P7/Q7)))/(2*(Q7+1.96^2)))</f>
        <v>0.11338061485899048</v>
      </c>
      <c r="S7" s="38">
        <f>+((2*P7+1.96^2+1.96*SQRT(1.96^2+4*P7*(1-P7/Q7)))/(2*(Q7+1.96^2)))</f>
        <v>0.11611708695556083</v>
      </c>
      <c r="T7" s="53">
        <f>IF($C7=1,M7,I7)</f>
        <v>0.21407625079154968</v>
      </c>
      <c r="U7" s="51">
        <f aca="true" t="shared" si="1" ref="U7:U15">IF($C7=1,I7,M7)</f>
        <v>0.014975042082369328</v>
      </c>
      <c r="V7" s="7">
        <v>1</v>
      </c>
      <c r="W7" s="27">
        <f aca="true" t="shared" si="2" ref="W7:W31">IF((K7-I7)&gt;(M7-K7),I7,(K7-(M7-K7)))</f>
        <v>-0.006524577736854553</v>
      </c>
      <c r="X7" s="27">
        <f aca="true" t="shared" si="3" ref="X7:X31">IF(W7=I7,K7+(K7-I7),M7)</f>
        <v>0.21407625079154968</v>
      </c>
      <c r="Y7" s="27">
        <f aca="true" t="shared" si="4" ref="Y7:Y31">IF(C7=1,W7,X7)</f>
        <v>-0.006524577736854553</v>
      </c>
      <c r="Z7" s="27">
        <f aca="true" t="shared" si="5" ref="Z7:Z31">IF(C7=1,X7,W7)</f>
        <v>0.21407625079154968</v>
      </c>
      <c r="AA7" s="32">
        <f aca="true" t="shared" si="6" ref="AA7:AA31">IF(ISERROR(IF(C7=1,(I7-$Y7)/($Z7-$Y7),(U7-$Y7)/($Z7-$Y7))),"",IF(C7=1,(I7-$Y7)/($Z7-$Y7),(U7-$Y7)/($Z7-$Y7)))</f>
        <v>0.09745937928993599</v>
      </c>
      <c r="AB7" s="33">
        <f aca="true" t="shared" si="7" ref="AB7:AB31">IF(ISERROR(IF(C7=1,(J7-$Y7)/($Z7-$Y7),(L7-$Y7)/($Z7-$Y7))),"",IF(C7=1,(J7-$Y7)/($Z7-$Y7),(L7-$Y7)/($Z7-$Y7)))</f>
        <v>0.3567934888519671</v>
      </c>
      <c r="AC7" s="33">
        <v>0.5</v>
      </c>
      <c r="AD7" s="33">
        <f aca="true" t="shared" si="8" ref="AD7:AD31">IF(ISERROR(IF(C7=1,(L7-$Y7)/($Z7-$Y7),(J7-$Y7)/($Z7-$Y7))),"",IF(C7=1,(L7-$Y7)/($Z7-$Y7),(J7-$Y7)/($Z7-$Y7)))</f>
        <v>0.6585506979708761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0.7165570385889708</v>
      </c>
      <c r="AI7" s="34">
        <f aca="true" t="shared" si="13" ref="AI7:AI31">IF(ISERROR((O7-$Y7)/($Z7-$Y7)),-999,(O7-$Y7)/($Z7-$Y7))</f>
        <v>0.7548149722109004</v>
      </c>
      <c r="AJ7" s="4">
        <v>2.7020512924389086</v>
      </c>
      <c r="AK7" s="32">
        <f aca="true" t="shared" si="14" ref="AK7:AK31">IF(H7=1,(E7-$Y7)/($Z7-$Y7),-999)</f>
        <v>-999</v>
      </c>
      <c r="AL7" s="34">
        <f aca="true" t="shared" si="15" ref="AL7:AL31">IF(H7=3,(E7-$Y7)/($Z7-$Y7),-999)</f>
        <v>0.7165570385889708</v>
      </c>
      <c r="AQ7" s="103">
        <v>2</v>
      </c>
      <c r="AR7" s="103">
        <v>0.2422</v>
      </c>
      <c r="AS7" s="103">
        <v>7.2247</v>
      </c>
      <c r="AY7" s="103" t="s">
        <v>68</v>
      </c>
      <c r="AZ7" s="103" t="s">
        <v>365</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0.10254484514947951</v>
      </c>
      <c r="G8" s="38">
        <f>IF(LEFT(VLOOKUP($B8,'Indicator chart'!$D$1:$J$36,7,FALSE),1)=" "," ",VLOOKUP($B8,'Indicator chart'!$D$1:$J$36,7,FALSE))</f>
        <v>0.11792593608724444</v>
      </c>
      <c r="H8" s="50">
        <f t="shared" si="0"/>
        <v>1</v>
      </c>
      <c r="I8" s="38">
        <v>0.10000000149011612</v>
      </c>
      <c r="J8" s="38">
        <v>0.17000000178813934</v>
      </c>
      <c r="K8" s="38">
        <v>0.20999999344348907</v>
      </c>
      <c r="L8" s="38">
        <v>0.25</v>
      </c>
      <c r="M8" s="38">
        <v>0.30000001192092896</v>
      </c>
      <c r="N8" s="80">
        <f>VLOOKUP('Hide - Control'!B$3,'All practice data'!A:CA,A8+29,FALSE)</f>
        <v>0.1993224494103875</v>
      </c>
      <c r="O8" s="80">
        <f>VLOOKUP('Hide - Control'!C$3,'All practice data'!A:CA,A8+29,FALSE)</f>
        <v>0.15010930292554353</v>
      </c>
      <c r="P8" s="38">
        <f>VLOOKUP('Hide - Control'!$B$4,'All practice data'!B:BC,A8+2,FALSE)</f>
        <v>41547.16999999999</v>
      </c>
      <c r="Q8" s="38">
        <f>VLOOKUP('Hide - Control'!$B$4,'All practice data'!B:BC,3,FALSE)</f>
        <v>208442</v>
      </c>
      <c r="R8" s="38">
        <f>+((2*P8+1.96^2-1.96*SQRT(1.96^2+4*P8*(1-P8/Q8)))/(2*(Q8+1.96^2)))</f>
        <v>0.1976129729272092</v>
      </c>
      <c r="S8" s="38">
        <f>+((2*P8+1.96^2+1.96*SQRT(1.96^2+4*P8*(1-P8/Q8)))/(2*(Q8+1.96^2)))</f>
        <v>0.20104300870404046</v>
      </c>
      <c r="T8" s="53">
        <f aca="true" t="shared" si="16" ref="T8:T15">IF($C8=1,M8,I8)</f>
        <v>0.30000001192092896</v>
      </c>
      <c r="U8" s="51">
        <f t="shared" si="1"/>
        <v>0.10000000149011612</v>
      </c>
      <c r="V8" s="7"/>
      <c r="W8" s="27">
        <f t="shared" si="2"/>
        <v>0.10000000149011612</v>
      </c>
      <c r="X8" s="27">
        <f t="shared" si="3"/>
        <v>0.31999998539686203</v>
      </c>
      <c r="Y8" s="27">
        <f t="shared" si="4"/>
        <v>0.10000000149011612</v>
      </c>
      <c r="Z8" s="27">
        <f t="shared" si="5"/>
        <v>0.31999998539686203</v>
      </c>
      <c r="AA8" s="32">
        <f t="shared" si="6"/>
        <v>0</v>
      </c>
      <c r="AB8" s="33">
        <f t="shared" si="7"/>
        <v>0.3181818428118385</v>
      </c>
      <c r="AC8" s="33">
        <v>0.5</v>
      </c>
      <c r="AD8" s="33">
        <f t="shared" si="8"/>
        <v>0.6818182249207173</v>
      </c>
      <c r="AE8" s="33">
        <f t="shared" si="9"/>
        <v>0.909091023004753</v>
      </c>
      <c r="AF8" s="33">
        <f t="shared" si="10"/>
        <v>-999</v>
      </c>
      <c r="AG8" s="33">
        <f t="shared" si="11"/>
        <v>-999</v>
      </c>
      <c r="AH8" s="33">
        <f t="shared" si="12"/>
        <v>0.045454542006342614</v>
      </c>
      <c r="AI8" s="34">
        <f t="shared" si="13"/>
        <v>0.2277695686408225</v>
      </c>
      <c r="AJ8" s="4">
        <v>3.778046717820832</v>
      </c>
      <c r="AK8" s="32">
        <f t="shared" si="14"/>
        <v>0.045454542006342614</v>
      </c>
      <c r="AL8" s="34">
        <f t="shared" si="15"/>
        <v>-999</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361.5783681811036</v>
      </c>
      <c r="F9" s="38">
        <f>IF(LEFT(VLOOKUP($B9,'Indicator chart'!$D$1:$J$36,6,FALSE),1)=" "," ",VLOOKUP($B9,'Indicator chart'!$D$1:$J$36,6,FALSE))</f>
        <v>229.1344638630733</v>
      </c>
      <c r="G9" s="38">
        <f>IF(LEFT(VLOOKUP($B9,'Indicator chart'!$D$1:$J$36,7,FALSE),1)=" "," ",VLOOKUP($B9,'Indicator chart'!$D$1:$J$36,7,FALSE))</f>
        <v>542.5724740115799</v>
      </c>
      <c r="H9" s="50">
        <f t="shared" si="0"/>
        <v>2</v>
      </c>
      <c r="I9" s="38">
        <v>88.3726806640625</v>
      </c>
      <c r="J9" s="38">
        <v>181.94161987304688</v>
      </c>
      <c r="K9" s="38">
        <v>290.35302734375</v>
      </c>
      <c r="L9" s="38">
        <v>396.4370422363281</v>
      </c>
      <c r="M9" s="38">
        <v>676.7426147460938</v>
      </c>
      <c r="N9" s="80">
        <f>VLOOKUP('Hide - Control'!B$3,'All practice data'!A:CA,A9+29,FALSE)</f>
        <v>323.35133994108674</v>
      </c>
      <c r="O9" s="80">
        <f>VLOOKUP('Hide - Control'!C$3,'All practice data'!A:CA,A9+29,FALSE)</f>
        <v>445.6198871279627</v>
      </c>
      <c r="P9" s="38">
        <f>VLOOKUP('Hide - Control'!$B$4,'All practice data'!B:BC,A9+2,FALSE)</f>
        <v>674</v>
      </c>
      <c r="Q9" s="38">
        <f>VLOOKUP('Hide - Control'!$B$4,'All practice data'!B:BC,3,FALSE)</f>
        <v>208442</v>
      </c>
      <c r="R9" s="38">
        <f>100000*(P9*(1-1/(9*P9)-1.96/(3*SQRT(P9)))^3)/Q9</f>
        <v>299.3967233846475</v>
      </c>
      <c r="S9" s="38">
        <f>100000*((P9+1)*(1-1/(9*(P9+1))+1.96/(3*SQRT(P9+1)))^3)/Q9</f>
        <v>348.71249961013007</v>
      </c>
      <c r="T9" s="53">
        <f t="shared" si="16"/>
        <v>676.7426147460938</v>
      </c>
      <c r="U9" s="51">
        <f t="shared" si="1"/>
        <v>88.3726806640625</v>
      </c>
      <c r="V9" s="7"/>
      <c r="W9" s="27">
        <f t="shared" si="2"/>
        <v>-96.03656005859375</v>
      </c>
      <c r="X9" s="27">
        <f t="shared" si="3"/>
        <v>676.7426147460938</v>
      </c>
      <c r="Y9" s="27">
        <f t="shared" si="4"/>
        <v>-96.03656005859375</v>
      </c>
      <c r="Z9" s="27">
        <f t="shared" si="5"/>
        <v>676.7426147460938</v>
      </c>
      <c r="AA9" s="32">
        <f t="shared" si="6"/>
        <v>0.23863122446236198</v>
      </c>
      <c r="AB9" s="33">
        <f t="shared" si="7"/>
        <v>0.3597123072084557</v>
      </c>
      <c r="AC9" s="33">
        <v>0.5</v>
      </c>
      <c r="AD9" s="33">
        <f t="shared" si="8"/>
        <v>0.6372759752737771</v>
      </c>
      <c r="AE9" s="33">
        <f t="shared" si="9"/>
        <v>1</v>
      </c>
      <c r="AF9" s="33">
        <f t="shared" si="10"/>
        <v>-999</v>
      </c>
      <c r="AG9" s="33">
        <f t="shared" si="11"/>
        <v>0.5921677798257893</v>
      </c>
      <c r="AH9" s="33">
        <f t="shared" si="12"/>
        <v>-999</v>
      </c>
      <c r="AI9" s="34">
        <f t="shared" si="13"/>
        <v>0.7009200879713858</v>
      </c>
      <c r="AJ9" s="4">
        <v>4.854042143202755</v>
      </c>
      <c r="AK9" s="32">
        <f t="shared" si="14"/>
        <v>-999</v>
      </c>
      <c r="AL9" s="34">
        <f t="shared" si="15"/>
        <v>-999</v>
      </c>
      <c r="AQ9" s="103">
        <v>4</v>
      </c>
      <c r="AR9" s="103">
        <v>1.0899</v>
      </c>
      <c r="AS9" s="103">
        <v>10.2416</v>
      </c>
      <c r="AY9" s="103" t="s">
        <v>90</v>
      </c>
      <c r="AZ9" s="103" t="s">
        <v>375</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251.53277786511555</v>
      </c>
      <c r="F10" s="38">
        <f>IF(LEFT(VLOOKUP($B10,'Indicator chart'!$D$1:$J$36,6,FALSE),1)=" "," ",VLOOKUP($B10,'Indicator chart'!$D$1:$J$36,6,FALSE))</f>
        <v>143.6788200031097</v>
      </c>
      <c r="G10" s="38">
        <f>IF(LEFT(VLOOKUP($B10,'Indicator chart'!$D$1:$J$36,7,FALSE),1)=" "," ",VLOOKUP($B10,'Indicator chart'!$D$1:$J$36,7,FALSE))</f>
        <v>408.499217661561</v>
      </c>
      <c r="H10" s="50">
        <f t="shared" si="0"/>
        <v>2</v>
      </c>
      <c r="I10" s="38">
        <v>44.173431396484375</v>
      </c>
      <c r="J10" s="38">
        <v>89.00442504882812</v>
      </c>
      <c r="K10" s="38">
        <v>163.4625701904297</v>
      </c>
      <c r="L10" s="38">
        <v>215.5147705078125</v>
      </c>
      <c r="M10" s="38">
        <v>332.9338073730469</v>
      </c>
      <c r="N10" s="80">
        <f>VLOOKUP('Hide - Control'!B$3,'All practice data'!A:CA,A10+29,FALSE)</f>
        <v>167.91241688335364</v>
      </c>
      <c r="O10" s="80">
        <f>VLOOKUP('Hide - Control'!C$3,'All practice data'!A:CA,A10+29,FALSE)</f>
        <v>234.12259778895606</v>
      </c>
      <c r="P10" s="38">
        <f>VLOOKUP('Hide - Control'!$B$4,'All practice data'!B:BC,A10+2,FALSE)</f>
        <v>350</v>
      </c>
      <c r="Q10" s="38">
        <f>VLOOKUP('Hide - Control'!$B$4,'All practice data'!B:BC,3,FALSE)</f>
        <v>208442</v>
      </c>
      <c r="R10" s="38">
        <f>100000*(P10*(1-1/(9*P10)-1.96/(3*SQRT(P10)))^3)/Q10</f>
        <v>150.77912719543446</v>
      </c>
      <c r="S10" s="38">
        <f>100000*((P10+1)*(1-1/(9*(P10+1))+1.96/(3*SQRT(P10+1)))^3)/Q10</f>
        <v>186.45912478871813</v>
      </c>
      <c r="T10" s="53">
        <f t="shared" si="16"/>
        <v>332.9338073730469</v>
      </c>
      <c r="U10" s="51">
        <f t="shared" si="1"/>
        <v>44.173431396484375</v>
      </c>
      <c r="V10" s="7"/>
      <c r="W10" s="27">
        <f t="shared" si="2"/>
        <v>-6.0086669921875</v>
      </c>
      <c r="X10" s="27">
        <f t="shared" si="3"/>
        <v>332.9338073730469</v>
      </c>
      <c r="Y10" s="27">
        <f t="shared" si="4"/>
        <v>-6.0086669921875</v>
      </c>
      <c r="Z10" s="27">
        <f t="shared" si="5"/>
        <v>332.9338073730469</v>
      </c>
      <c r="AA10" s="32">
        <f t="shared" si="6"/>
        <v>0.14805491251178254</v>
      </c>
      <c r="AB10" s="33">
        <f t="shared" si="7"/>
        <v>0.2803221762600114</v>
      </c>
      <c r="AC10" s="33">
        <v>0.5</v>
      </c>
      <c r="AD10" s="33">
        <f t="shared" si="8"/>
        <v>0.6535723736450124</v>
      </c>
      <c r="AE10" s="33">
        <f t="shared" si="9"/>
        <v>1</v>
      </c>
      <c r="AF10" s="33">
        <f t="shared" si="10"/>
        <v>-999</v>
      </c>
      <c r="AG10" s="33">
        <f t="shared" si="11"/>
        <v>0.7598382154364757</v>
      </c>
      <c r="AH10" s="33">
        <f t="shared" si="12"/>
        <v>-999</v>
      </c>
      <c r="AI10" s="34">
        <f t="shared" si="13"/>
        <v>0.7084720356481059</v>
      </c>
      <c r="AJ10" s="4">
        <v>5.930037568584676</v>
      </c>
      <c r="AK10" s="32">
        <f t="shared" si="14"/>
        <v>-999</v>
      </c>
      <c r="AL10" s="34">
        <f t="shared" si="15"/>
        <v>-999</v>
      </c>
      <c r="AY10" s="103" t="s">
        <v>96</v>
      </c>
      <c r="AZ10" s="103" t="s">
        <v>97</v>
      </c>
      <c r="BA10" s="103" t="s">
        <v>492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88</v>
      </c>
      <c r="E11" s="38">
        <f>IF(LEFT(VLOOKUP($B11,'Indicator chart'!$D$1:$J$36,5,FALSE),1)=" "," ",VLOOKUP($B11,'Indicator chart'!$D$1:$J$36,5,FALSE))</f>
        <v>0.013999999999999999</v>
      </c>
      <c r="F11" s="38">
        <f>IF(LEFT(VLOOKUP($B11,'Indicator chart'!$D$1:$J$36,6,FALSE),1)=" "," ",VLOOKUP($B11,'Indicator chart'!$D$1:$J$36,6,FALSE))</f>
        <v>0.011243208341490613</v>
      </c>
      <c r="G11" s="38">
        <f>IF(LEFT(VLOOKUP($B11,'Indicator chart'!$D$1:$J$36,7,FALSE),1)=" "," ",VLOOKUP($B11,'Indicator chart'!$D$1:$J$36,7,FALSE))</f>
        <v>0.017012263090822804</v>
      </c>
      <c r="H11" s="50">
        <f t="shared" si="0"/>
        <v>3</v>
      </c>
      <c r="I11" s="38">
        <v>0.0020000000949949026</v>
      </c>
      <c r="J11" s="38">
        <v>0.006000000052154064</v>
      </c>
      <c r="K11" s="38">
        <v>0.009999999776482582</v>
      </c>
      <c r="L11" s="38">
        <v>0.013249999843537807</v>
      </c>
      <c r="M11" s="38">
        <v>0.02199999988079071</v>
      </c>
      <c r="N11" s="80">
        <f>VLOOKUP('Hide - Control'!B$3,'All practice data'!A:CA,A11+29,FALSE)</f>
        <v>0.010664837220905575</v>
      </c>
      <c r="O11" s="80">
        <f>VLOOKUP('Hide - Control'!C$3,'All practice data'!A:CA,A11+29,FALSE)</f>
        <v>0.015940726342527432</v>
      </c>
      <c r="P11" s="38">
        <f>VLOOKUP('Hide - Control'!$B$4,'All practice data'!B:BC,A11+2,FALSE)</f>
        <v>2223</v>
      </c>
      <c r="Q11" s="38">
        <f>VLOOKUP('Hide - Control'!$B$4,'All practice data'!B:BC,3,FALSE)</f>
        <v>208442</v>
      </c>
      <c r="R11" s="80">
        <f aca="true" t="shared" si="17" ref="R11:R16">+((2*P11+1.96^2-1.96*SQRT(1.96^2+4*P11*(1-P11/Q11)))/(2*(Q11+1.96^2)))</f>
        <v>0.010232794091391079</v>
      </c>
      <c r="S11" s="80">
        <f aca="true" t="shared" si="18" ref="S11:S16">+((2*P11+1.96^2+1.96*SQRT(1.96^2+4*P11*(1-P11/Q11)))/(2*(Q11+1.96^2)))</f>
        <v>0.011114916977554512</v>
      </c>
      <c r="T11" s="53">
        <f t="shared" si="16"/>
        <v>0.02199999988079071</v>
      </c>
      <c r="U11" s="51">
        <f t="shared" si="1"/>
        <v>0.0020000000949949026</v>
      </c>
      <c r="V11" s="7"/>
      <c r="W11" s="27">
        <f t="shared" si="2"/>
        <v>-0.0020000003278255463</v>
      </c>
      <c r="X11" s="27">
        <f t="shared" si="3"/>
        <v>0.02199999988079071</v>
      </c>
      <c r="Y11" s="27">
        <f t="shared" si="4"/>
        <v>-0.0020000003278255463</v>
      </c>
      <c r="Z11" s="27">
        <f t="shared" si="5"/>
        <v>0.02199999988079071</v>
      </c>
      <c r="AA11" s="32">
        <f t="shared" si="6"/>
        <v>0.1666666828354612</v>
      </c>
      <c r="AB11" s="33">
        <f t="shared" si="7"/>
        <v>0.33333334626836897</v>
      </c>
      <c r="AC11" s="33">
        <v>0.5</v>
      </c>
      <c r="AD11" s="33">
        <f t="shared" si="8"/>
        <v>0.6354166682835461</v>
      </c>
      <c r="AE11" s="33">
        <f t="shared" si="9"/>
        <v>1</v>
      </c>
      <c r="AF11" s="33">
        <f t="shared" si="10"/>
        <v>-999</v>
      </c>
      <c r="AG11" s="33">
        <f t="shared" si="11"/>
        <v>-999</v>
      </c>
      <c r="AH11" s="33">
        <f t="shared" si="12"/>
        <v>0.6666666745311682</v>
      </c>
      <c r="AI11" s="34">
        <f t="shared" si="13"/>
        <v>0.7475302714335839</v>
      </c>
      <c r="AJ11" s="4">
        <v>7.0060329939666</v>
      </c>
      <c r="AK11" s="32">
        <f t="shared" si="14"/>
        <v>-999</v>
      </c>
      <c r="AL11" s="34">
        <f t="shared" si="15"/>
        <v>0.6666666745311682</v>
      </c>
      <c r="AY11" s="103" t="s">
        <v>214</v>
      </c>
      <c r="AZ11" s="103" t="s">
        <v>215</v>
      </c>
      <c r="BA11" s="103" t="s">
        <v>492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648</v>
      </c>
      <c r="E12" s="38">
        <f>IF(LEFT(VLOOKUP($B12,'Indicator chart'!$D$1:$J$36,5,FALSE),1)=" "," ",VLOOKUP($B12,'Indicator chart'!$D$1:$J$36,5,FALSE))</f>
        <v>0.820253</v>
      </c>
      <c r="F12" s="38">
        <f>IF(LEFT(VLOOKUP($B12,'Indicator chart'!$D$1:$J$36,6,FALSE),1)=" "," ",VLOOKUP($B12,'Indicator chart'!$D$1:$J$36,6,FALSE))</f>
        <v>0.7919472368149523</v>
      </c>
      <c r="G12" s="38">
        <f>IF(LEFT(VLOOKUP($B12,'Indicator chart'!$D$1:$J$36,7,FALSE),1)=" "," ",VLOOKUP($B12,'Indicator chart'!$D$1:$J$36,7,FALSE))</f>
        <v>0.8454595204021047</v>
      </c>
      <c r="H12" s="50">
        <f t="shared" si="0"/>
        <v>3</v>
      </c>
      <c r="I12" s="38">
        <v>0.32653099298477173</v>
      </c>
      <c r="J12" s="38">
        <v>0.6069315075874329</v>
      </c>
      <c r="K12" s="38">
        <v>0.6864305138587952</v>
      </c>
      <c r="L12" s="38">
        <v>0.7539770007133484</v>
      </c>
      <c r="M12" s="38">
        <v>0.8202530145645142</v>
      </c>
      <c r="N12" s="80">
        <f>VLOOKUP('Hide - Control'!B$3,'All practice data'!A:CA,A12+29,FALSE)</f>
        <v>0.7109967497291441</v>
      </c>
      <c r="O12" s="80">
        <f>VLOOKUP('Hide - Control'!C$3,'All practice data'!A:CA,A12+29,FALSE)</f>
        <v>0.7248631360507991</v>
      </c>
      <c r="P12" s="38">
        <f>VLOOKUP('Hide - Control'!$B$4,'All practice data'!B:BC,A12+2,FALSE)</f>
        <v>13125</v>
      </c>
      <c r="Q12" s="38">
        <f>VLOOKUP('Hide - Control'!$B$4,'All practice data'!B:BJ,57,FALSE)</f>
        <v>18460</v>
      </c>
      <c r="R12" s="38">
        <f t="shared" si="17"/>
        <v>0.7044141708825858</v>
      </c>
      <c r="S12" s="38">
        <f t="shared" si="18"/>
        <v>0.7174915283084211</v>
      </c>
      <c r="T12" s="53">
        <f t="shared" si="16"/>
        <v>0.8202530145645142</v>
      </c>
      <c r="U12" s="51">
        <f t="shared" si="1"/>
        <v>0.32653099298477173</v>
      </c>
      <c r="V12" s="7"/>
      <c r="W12" s="27">
        <f t="shared" si="2"/>
        <v>0.32653099298477173</v>
      </c>
      <c r="X12" s="27">
        <f t="shared" si="3"/>
        <v>1.0463300347328186</v>
      </c>
      <c r="Y12" s="27">
        <f t="shared" si="4"/>
        <v>0.32653099298477173</v>
      </c>
      <c r="Z12" s="27">
        <f t="shared" si="5"/>
        <v>1.0463300347328186</v>
      </c>
      <c r="AA12" s="32">
        <f t="shared" si="6"/>
        <v>0</v>
      </c>
      <c r="AB12" s="33">
        <f t="shared" si="7"/>
        <v>0.3895538870428372</v>
      </c>
      <c r="AC12" s="33">
        <v>0.5</v>
      </c>
      <c r="AD12" s="33">
        <f t="shared" si="8"/>
        <v>0.5938407568458485</v>
      </c>
      <c r="AE12" s="33">
        <f t="shared" si="9"/>
        <v>0.685916475216094</v>
      </c>
      <c r="AF12" s="33">
        <f t="shared" si="10"/>
        <v>-999</v>
      </c>
      <c r="AG12" s="33">
        <f t="shared" si="11"/>
        <v>-999</v>
      </c>
      <c r="AH12" s="33">
        <f t="shared" si="12"/>
        <v>0.6859164549819546</v>
      </c>
      <c r="AI12" s="34">
        <f t="shared" si="13"/>
        <v>0.553393544535249</v>
      </c>
      <c r="AJ12" s="4">
        <v>8.082028419348523</v>
      </c>
      <c r="AK12" s="32">
        <f t="shared" si="14"/>
        <v>-999</v>
      </c>
      <c r="AL12" s="34">
        <f t="shared" si="15"/>
        <v>0.6859164549819546</v>
      </c>
      <c r="AY12" s="103" t="s">
        <v>261</v>
      </c>
      <c r="AZ12" s="103" t="s">
        <v>428</v>
      </c>
      <c r="BA12" s="103" t="s">
        <v>312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601</v>
      </c>
      <c r="E13" s="38">
        <f>IF(LEFT(VLOOKUP($B13,'Indicator chart'!$D$1:$J$36,5,FALSE),1)=" "," ",VLOOKUP($B13,'Indicator chart'!$D$1:$J$36,5,FALSE))</f>
        <v>0.78768</v>
      </c>
      <c r="F13" s="38">
        <f>IF(LEFT(VLOOKUP($B13,'Indicator chart'!$D$1:$J$36,6,FALSE),1)=" "," ",VLOOKUP($B13,'Indicator chart'!$D$1:$J$36,6,FALSE))</f>
        <v>0.7572581869513768</v>
      </c>
      <c r="G13" s="38">
        <f>IF(LEFT(VLOOKUP($B13,'Indicator chart'!$D$1:$J$36,7,FALSE),1)=" "," ",VLOOKUP($B13,'Indicator chart'!$D$1:$J$36,7,FALSE))</f>
        <v>0.8152198841391849</v>
      </c>
      <c r="H13" s="50">
        <f t="shared" si="0"/>
        <v>3</v>
      </c>
      <c r="I13" s="38">
        <v>0</v>
      </c>
      <c r="J13" s="38">
        <v>0.5</v>
      </c>
      <c r="K13" s="38">
        <v>0.6666669845581055</v>
      </c>
      <c r="L13" s="38">
        <v>0.7263169884681702</v>
      </c>
      <c r="M13" s="38">
        <v>0.800000011920929</v>
      </c>
      <c r="N13" s="80">
        <f>VLOOKUP('Hide - Control'!B$3,'All practice data'!A:CA,A13+29,FALSE)</f>
        <v>0.7252159605100782</v>
      </c>
      <c r="O13" s="80">
        <f>VLOOKUP('Hide - Control'!C$3,'All practice data'!A:CA,A13+29,FALSE)</f>
        <v>0.7467412166569077</v>
      </c>
      <c r="P13" s="38">
        <f>VLOOKUP('Hide - Control'!$B$4,'All practice data'!B:BC,A13+2,FALSE)</f>
        <v>5289</v>
      </c>
      <c r="Q13" s="38">
        <f>VLOOKUP('Hide - Control'!$B$4,'All practice data'!B:BJ,58,FALSE)</f>
        <v>7293</v>
      </c>
      <c r="R13" s="38">
        <f t="shared" si="17"/>
        <v>0.7148539192024935</v>
      </c>
      <c r="S13" s="38">
        <f t="shared" si="18"/>
        <v>0.7353408609610227</v>
      </c>
      <c r="T13" s="53">
        <f t="shared" si="16"/>
        <v>0.800000011920929</v>
      </c>
      <c r="U13" s="51">
        <f t="shared" si="1"/>
        <v>0</v>
      </c>
      <c r="V13" s="7"/>
      <c r="W13" s="27">
        <f t="shared" si="2"/>
        <v>0</v>
      </c>
      <c r="X13" s="27">
        <f t="shared" si="3"/>
        <v>1.333333969116211</v>
      </c>
      <c r="Y13" s="27">
        <f t="shared" si="4"/>
        <v>0</v>
      </c>
      <c r="Z13" s="27">
        <f t="shared" si="5"/>
        <v>1.333333969116211</v>
      </c>
      <c r="AA13" s="32">
        <f t="shared" si="6"/>
        <v>0</v>
      </c>
      <c r="AB13" s="33">
        <f t="shared" si="7"/>
        <v>0.37499982118615094</v>
      </c>
      <c r="AC13" s="33">
        <v>0.5</v>
      </c>
      <c r="AD13" s="33">
        <f t="shared" si="8"/>
        <v>0.544737481600055</v>
      </c>
      <c r="AE13" s="33">
        <f t="shared" si="9"/>
        <v>0.599999722838534</v>
      </c>
      <c r="AF13" s="33">
        <f t="shared" si="10"/>
        <v>-999</v>
      </c>
      <c r="AG13" s="33">
        <f t="shared" si="11"/>
        <v>-999</v>
      </c>
      <c r="AH13" s="33">
        <f t="shared" si="12"/>
        <v>0.5907597183038148</v>
      </c>
      <c r="AI13" s="34">
        <f t="shared" si="13"/>
        <v>0.5600556454373384</v>
      </c>
      <c r="AJ13" s="4">
        <v>9.158023844730446</v>
      </c>
      <c r="AK13" s="32">
        <f t="shared" si="14"/>
        <v>-999</v>
      </c>
      <c r="AL13" s="34">
        <f t="shared" si="15"/>
        <v>0.5907597183038148</v>
      </c>
      <c r="AY13" s="103" t="s">
        <v>260</v>
      </c>
      <c r="AZ13" s="103" t="s">
        <v>427</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1240</v>
      </c>
      <c r="E14" s="38">
        <f>IF(LEFT(VLOOKUP($B14,'Indicator chart'!$D$1:$J$36,5,FALSE),1)=" "," ",VLOOKUP($B14,'Indicator chart'!$D$1:$J$36,5,FALSE))</f>
        <v>0.747438</v>
      </c>
      <c r="F14" s="38">
        <f>IF(LEFT(VLOOKUP($B14,'Indicator chart'!$D$1:$J$36,6,FALSE),1)=" "," ",VLOOKUP($B14,'Indicator chart'!$D$1:$J$36,6,FALSE))</f>
        <v>0.7259753033133672</v>
      </c>
      <c r="G14" s="38">
        <f>IF(LEFT(VLOOKUP($B14,'Indicator chart'!$D$1:$J$36,7,FALSE),1)=" "," ",VLOOKUP($B14,'Indicator chart'!$D$1:$J$36,7,FALSE))</f>
        <v>0.7677578339860607</v>
      </c>
      <c r="H14" s="50">
        <f t="shared" si="0"/>
        <v>2</v>
      </c>
      <c r="I14" s="38">
        <v>0.5543069839477539</v>
      </c>
      <c r="J14" s="38">
        <v>0.7190154790878296</v>
      </c>
      <c r="K14" s="38">
        <v>0.7536795139312744</v>
      </c>
      <c r="L14" s="38">
        <v>0.782743513584137</v>
      </c>
      <c r="M14" s="38">
        <v>0.8796060085296631</v>
      </c>
      <c r="N14" s="80">
        <f>VLOOKUP('Hide - Control'!B$3,'All practice data'!A:CA,A14+29,FALSE)</f>
        <v>0.732525332803497</v>
      </c>
      <c r="O14" s="80">
        <f>VLOOKUP('Hide - Control'!C$3,'All practice data'!A:CA,A14+29,FALSE)</f>
        <v>0.7559681673907895</v>
      </c>
      <c r="P14" s="38">
        <f>VLOOKUP('Hide - Control'!$B$4,'All practice data'!B:BC,A14+2,FALSE)</f>
        <v>36868</v>
      </c>
      <c r="Q14" s="38">
        <f>VLOOKUP('Hide - Control'!$B$4,'All practice data'!B:BJ,59,FALSE)</f>
        <v>50330</v>
      </c>
      <c r="R14" s="38">
        <f t="shared" si="17"/>
        <v>0.7286405050088959</v>
      </c>
      <c r="S14" s="38">
        <f t="shared" si="18"/>
        <v>0.7363746668114087</v>
      </c>
      <c r="T14" s="53">
        <f t="shared" si="16"/>
        <v>0.8796060085296631</v>
      </c>
      <c r="U14" s="51">
        <f t="shared" si="1"/>
        <v>0.5543069839477539</v>
      </c>
      <c r="V14" s="7"/>
      <c r="W14" s="27">
        <f t="shared" si="2"/>
        <v>0.5543069839477539</v>
      </c>
      <c r="X14" s="27">
        <f t="shared" si="3"/>
        <v>0.9530520439147949</v>
      </c>
      <c r="Y14" s="27">
        <f t="shared" si="4"/>
        <v>0.5543069839477539</v>
      </c>
      <c r="Z14" s="27">
        <f t="shared" si="5"/>
        <v>0.9530520439147949</v>
      </c>
      <c r="AA14" s="32">
        <f t="shared" si="6"/>
        <v>0</v>
      </c>
      <c r="AB14" s="33">
        <f t="shared" si="7"/>
        <v>0.4130671741831484</v>
      </c>
      <c r="AC14" s="33">
        <v>0.5</v>
      </c>
      <c r="AD14" s="33">
        <f t="shared" si="8"/>
        <v>0.5728886764271509</v>
      </c>
      <c r="AE14" s="33">
        <f t="shared" si="9"/>
        <v>0.8158070337192325</v>
      </c>
      <c r="AF14" s="33">
        <f t="shared" si="10"/>
        <v>-999</v>
      </c>
      <c r="AG14" s="33">
        <f t="shared" si="11"/>
        <v>0.484347106565307</v>
      </c>
      <c r="AH14" s="33">
        <f t="shared" si="12"/>
        <v>-999</v>
      </c>
      <c r="AI14" s="34">
        <f t="shared" si="13"/>
        <v>0.505739640911675</v>
      </c>
      <c r="AJ14" s="4">
        <v>10.234019270112368</v>
      </c>
      <c r="AK14" s="32">
        <f t="shared" si="14"/>
        <v>-999</v>
      </c>
      <c r="AL14" s="34">
        <f t="shared" si="15"/>
        <v>-999</v>
      </c>
      <c r="AY14" s="103" t="s">
        <v>53</v>
      </c>
      <c r="AZ14" s="103" t="s">
        <v>435</v>
      </c>
      <c r="BA14" s="103" t="s">
        <v>492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340</v>
      </c>
      <c r="E15" s="38">
        <f>IF(LEFT(VLOOKUP($B15,'Indicator chart'!$D$1:$J$36,5,FALSE),1)=" "," ",VLOOKUP($B15,'Indicator chart'!$D$1:$J$36,5,FALSE))</f>
        <v>0.508221</v>
      </c>
      <c r="F15" s="38">
        <f>IF(LEFT(VLOOKUP($B15,'Indicator chart'!$D$1:$J$36,6,FALSE),1)=" "," ",VLOOKUP($B15,'Indicator chart'!$D$1:$J$36,6,FALSE))</f>
        <v>0.4703986945054016</v>
      </c>
      <c r="G15" s="38">
        <f>IF(LEFT(VLOOKUP($B15,'Indicator chart'!$D$1:$J$36,7,FALSE),1)=" "," ",VLOOKUP($B15,'Indicator chart'!$D$1:$J$36,7,FALSE))</f>
        <v>0.5459498784722502</v>
      </c>
      <c r="H15" s="50">
        <f t="shared" si="0"/>
        <v>3</v>
      </c>
      <c r="I15" s="38">
        <v>0.12727299332618713</v>
      </c>
      <c r="J15" s="38">
        <v>0.3199320137500763</v>
      </c>
      <c r="K15" s="38">
        <v>0.427900493144989</v>
      </c>
      <c r="L15" s="38">
        <v>0.5053840279579163</v>
      </c>
      <c r="M15" s="38">
        <v>0.584721028804779</v>
      </c>
      <c r="N15" s="80">
        <f>VLOOKUP('Hide - Control'!B$3,'All practice data'!A:CA,A15+29,FALSE)</f>
        <v>0.4679894689526745</v>
      </c>
      <c r="O15" s="80">
        <f>VLOOKUP('Hide - Control'!C$3,'All practice data'!A:CA,A15+29,FALSE)</f>
        <v>0.5147293797466616</v>
      </c>
      <c r="P15" s="38">
        <f>VLOOKUP('Hide - Control'!$B$4,'All practice data'!B:BC,A15+2,FALSE)</f>
        <v>7288</v>
      </c>
      <c r="Q15" s="38">
        <f>VLOOKUP('Hide - Control'!$B$4,'All practice data'!B:BJ,60,FALSE)</f>
        <v>15573</v>
      </c>
      <c r="R15" s="38">
        <f t="shared" si="17"/>
        <v>0.46016135774391265</v>
      </c>
      <c r="S15" s="38">
        <f t="shared" si="18"/>
        <v>0.4758333691973949</v>
      </c>
      <c r="T15" s="53">
        <f t="shared" si="16"/>
        <v>0.584721028804779</v>
      </c>
      <c r="U15" s="51">
        <f t="shared" si="1"/>
        <v>0.12727299332618713</v>
      </c>
      <c r="V15" s="7"/>
      <c r="W15" s="27">
        <f t="shared" si="2"/>
        <v>0.12727299332618713</v>
      </c>
      <c r="X15" s="27">
        <f t="shared" si="3"/>
        <v>0.7285279929637909</v>
      </c>
      <c r="Y15" s="27">
        <f t="shared" si="4"/>
        <v>0.12727299332618713</v>
      </c>
      <c r="Z15" s="27">
        <f t="shared" si="5"/>
        <v>0.7285279929637909</v>
      </c>
      <c r="AA15" s="32">
        <f t="shared" si="6"/>
        <v>0</v>
      </c>
      <c r="AB15" s="33">
        <f t="shared" si="7"/>
        <v>0.3204281387098837</v>
      </c>
      <c r="AC15" s="33">
        <v>0.5</v>
      </c>
      <c r="AD15" s="33">
        <f t="shared" si="8"/>
        <v>0.6288696723680122</v>
      </c>
      <c r="AE15" s="33">
        <f t="shared" si="9"/>
        <v>0.7608220068927676</v>
      </c>
      <c r="AF15" s="33">
        <f t="shared" si="10"/>
        <v>-999</v>
      </c>
      <c r="AG15" s="33">
        <f t="shared" si="11"/>
        <v>-999</v>
      </c>
      <c r="AH15" s="33">
        <f t="shared" si="12"/>
        <v>0.6335880897513082</v>
      </c>
      <c r="AI15" s="34">
        <f t="shared" si="13"/>
        <v>0.6444127477592821</v>
      </c>
      <c r="AJ15" s="4">
        <v>11.310014695494289</v>
      </c>
      <c r="AK15" s="32">
        <f t="shared" si="14"/>
        <v>-999</v>
      </c>
      <c r="AL15" s="34">
        <f t="shared" si="15"/>
        <v>0.6335880897513082</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167</v>
      </c>
      <c r="E16" s="38">
        <f>IF(LEFT(VLOOKUP($B16,'Indicator chart'!$D$1:$J$36,5,FALSE),1)=" "," ",VLOOKUP($B16,'Indicator chart'!$D$1:$J$36,5,FALSE))</f>
        <v>0.509146</v>
      </c>
      <c r="F16" s="38">
        <f>IF(LEFT(VLOOKUP($B16,'Indicator chart'!$D$1:$J$36,6,FALSE),1)=" "," ",VLOOKUP($B16,'Indicator chart'!$D$1:$J$36,6,FALSE))</f>
        <v>0.45525203277929616</v>
      </c>
      <c r="G16" s="38">
        <f>IF(LEFT(VLOOKUP($B16,'Indicator chart'!$D$1:$J$36,7,FALSE),1)=" "," ",VLOOKUP($B16,'Indicator chart'!$D$1:$J$36,7,FALSE))</f>
        <v>0.5628288829347071</v>
      </c>
      <c r="H16" s="50">
        <f t="shared" si="0"/>
        <v>2</v>
      </c>
      <c r="I16" s="38">
        <v>0.25773200392723083</v>
      </c>
      <c r="J16" s="38">
        <v>0.3901177644729614</v>
      </c>
      <c r="K16" s="38">
        <v>0.48683249950408936</v>
      </c>
      <c r="L16" s="38">
        <v>0.5220837593078613</v>
      </c>
      <c r="M16" s="38">
        <v>0.6126480102539062</v>
      </c>
      <c r="N16" s="80">
        <f>VLOOKUP('Hide - Control'!B$3,'All practice data'!A:CA,A16+29,FALSE)</f>
        <v>0.5005895453949954</v>
      </c>
      <c r="O16" s="80">
        <f>VLOOKUP('Hide - Control'!C$3,'All practice data'!A:CA,A16+29,FALSE)</f>
        <v>0.5752927626212945</v>
      </c>
      <c r="P16" s="38">
        <f>VLOOKUP('Hide - Control'!$B$4,'All practice data'!B:BC,A16+2,FALSE)</f>
        <v>3821</v>
      </c>
      <c r="Q16" s="38">
        <f>VLOOKUP('Hide - Control'!$B$4,'All practice data'!B:BJ,61,FALSE)</f>
        <v>7633</v>
      </c>
      <c r="R16" s="38">
        <f t="shared" si="17"/>
        <v>0.4893750337192837</v>
      </c>
      <c r="S16" s="38">
        <f t="shared" si="18"/>
        <v>0.5118034639465576</v>
      </c>
      <c r="T16" s="53">
        <f aca="true" t="shared" si="19" ref="T16:T31">IF($C16=1,M16,I16)</f>
        <v>0.6126480102539062</v>
      </c>
      <c r="U16" s="51">
        <f aca="true" t="shared" si="20" ref="U16:U31">IF($C16=1,I16,M16)</f>
        <v>0.25773200392723083</v>
      </c>
      <c r="V16" s="7"/>
      <c r="W16" s="27">
        <f t="shared" si="2"/>
        <v>0.25773200392723083</v>
      </c>
      <c r="X16" s="27">
        <f t="shared" si="3"/>
        <v>0.7159329950809479</v>
      </c>
      <c r="Y16" s="27">
        <f t="shared" si="4"/>
        <v>0.25773200392723083</v>
      </c>
      <c r="Z16" s="27">
        <f t="shared" si="5"/>
        <v>0.7159329950809479</v>
      </c>
      <c r="AA16" s="32">
        <f t="shared" si="6"/>
        <v>0</v>
      </c>
      <c r="AB16" s="33">
        <f t="shared" si="7"/>
        <v>0.2889250855009999</v>
      </c>
      <c r="AC16" s="33">
        <v>0.5</v>
      </c>
      <c r="AD16" s="33">
        <f t="shared" si="8"/>
        <v>0.5769340540163649</v>
      </c>
      <c r="AE16" s="33">
        <f t="shared" si="9"/>
        <v>0.7745858546334056</v>
      </c>
      <c r="AF16" s="33">
        <f t="shared" si="10"/>
        <v>-999</v>
      </c>
      <c r="AG16" s="33">
        <f t="shared" si="11"/>
        <v>0.5486980624806743</v>
      </c>
      <c r="AH16" s="33">
        <f t="shared" si="12"/>
        <v>-999</v>
      </c>
      <c r="AI16" s="34">
        <f t="shared" si="13"/>
        <v>0.693059955838307</v>
      </c>
      <c r="AJ16" s="4">
        <v>12.386010120876215</v>
      </c>
      <c r="AK16" s="32">
        <f t="shared" si="14"/>
        <v>-999</v>
      </c>
      <c r="AL16" s="34">
        <f t="shared" si="15"/>
        <v>-999</v>
      </c>
      <c r="AY16" s="103" t="s">
        <v>310</v>
      </c>
      <c r="AZ16" s="103" t="s">
        <v>331</v>
      </c>
      <c r="BA16" s="103" t="s">
        <v>492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1509.1966671906932</v>
      </c>
      <c r="F17" s="38">
        <f>IF(LEFT(VLOOKUP($B17,'Indicator chart'!$D$1:$J$36,6,FALSE),1)=" "," ",VLOOKUP($B17,'Indicator chart'!$D$1:$J$36,6,FALSE))</f>
        <v>1222.4189549533571</v>
      </c>
      <c r="G17" s="38">
        <f>IF(LEFT(VLOOKUP($B17,'Indicator chart'!$D$1:$J$36,7,FALSE),1)=" "," ",VLOOKUP($B17,'Indicator chart'!$D$1:$J$36,7,FALSE))</f>
        <v>1843.0119893944013</v>
      </c>
      <c r="H17" s="50">
        <f t="shared" si="0"/>
        <v>3</v>
      </c>
      <c r="I17" s="38">
        <v>244.498779296875</v>
      </c>
      <c r="J17" s="38">
        <v>468.6378173828125</v>
      </c>
      <c r="K17" s="38">
        <v>917.28515625</v>
      </c>
      <c r="L17" s="38">
        <v>1412.084228515625</v>
      </c>
      <c r="M17" s="38">
        <v>1736.9222412109375</v>
      </c>
      <c r="N17" s="80">
        <f>VLOOKUP('Hide - Control'!B$3,'All practice data'!A:CA,A17+29,FALSE)</f>
        <v>994.5212577119775</v>
      </c>
      <c r="O17" s="80">
        <f>VLOOKUP('Hide - Control'!C$3,'All practice data'!A:CA,A17+29,FALSE)</f>
        <v>1812.1669120472948</v>
      </c>
      <c r="P17" s="38">
        <f>VLOOKUP('Hide - Control'!$B$4,'All practice data'!B:BC,A17+2,FALSE)</f>
        <v>2073</v>
      </c>
      <c r="Q17" s="38">
        <f>VLOOKUP('Hide - Control'!$B$4,'All practice data'!B:BC,3,FALSE)</f>
        <v>208442</v>
      </c>
      <c r="R17" s="38">
        <f>100000*(P17*(1-1/(9*P17)-1.96/(3*SQRT(P17)))^3)/Q17</f>
        <v>952.1648128389822</v>
      </c>
      <c r="S17" s="38">
        <f>100000*((P17+1)*(1-1/(9*(P17+1))+1.96/(3*SQRT(P17+1)))^3)/Q17</f>
        <v>1038.2765669647501</v>
      </c>
      <c r="T17" s="53">
        <f t="shared" si="19"/>
        <v>1736.9222412109375</v>
      </c>
      <c r="U17" s="51">
        <f t="shared" si="20"/>
        <v>244.498779296875</v>
      </c>
      <c r="V17" s="7"/>
      <c r="W17" s="27">
        <f t="shared" si="2"/>
        <v>97.6480712890625</v>
      </c>
      <c r="X17" s="27">
        <f t="shared" si="3"/>
        <v>1736.9222412109375</v>
      </c>
      <c r="Y17" s="27">
        <f t="shared" si="4"/>
        <v>97.6480712890625</v>
      </c>
      <c r="Z17" s="27">
        <f t="shared" si="5"/>
        <v>1736.9222412109375</v>
      </c>
      <c r="AA17" s="32">
        <f t="shared" si="6"/>
        <v>0.08958276211648668</v>
      </c>
      <c r="AB17" s="33">
        <f t="shared" si="7"/>
        <v>0.2263134214525144</v>
      </c>
      <c r="AC17" s="33">
        <v>0.5</v>
      </c>
      <c r="AD17" s="33">
        <f t="shared" si="8"/>
        <v>0.801840339672531</v>
      </c>
      <c r="AE17" s="33">
        <f t="shared" si="9"/>
        <v>1</v>
      </c>
      <c r="AF17" s="33">
        <f t="shared" si="10"/>
        <v>-999</v>
      </c>
      <c r="AG17" s="33">
        <f t="shared" si="11"/>
        <v>-999</v>
      </c>
      <c r="AH17" s="33">
        <f t="shared" si="12"/>
        <v>0.8610814601982674</v>
      </c>
      <c r="AI17" s="34">
        <f t="shared" si="13"/>
        <v>1.0459012117783466</v>
      </c>
      <c r="AJ17" s="4">
        <v>13.462005546258133</v>
      </c>
      <c r="AK17" s="32">
        <f t="shared" si="14"/>
        <v>-999</v>
      </c>
      <c r="AL17" s="34">
        <f t="shared" si="15"/>
        <v>0.8610814601982674</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0.8156730652</v>
      </c>
      <c r="F18" s="81">
        <f>IF(LEFT(VLOOKUP($B18,'Indicator chart'!$D$1:$J$36,6,FALSE),1)=" "," ",VLOOKUP($B18,'Indicator chart'!$D$1:$J$36,6,FALSE))</f>
        <v>0.6606978607</v>
      </c>
      <c r="G18" s="38">
        <f>IF(LEFT(VLOOKUP($B18,'Indicator chart'!$D$1:$J$36,7,FALSE),1)=" "," ",VLOOKUP($B18,'Indicator chart'!$D$1:$J$36,7,FALSE))</f>
        <v>0.9960764313</v>
      </c>
      <c r="H18" s="50">
        <f>IF(LEFT(F18,1)=" ",4,IF(AND(ABS(N18-E18)&gt;SQRT((E18-G18)^2+(N18-R18)^2),E18&lt;N18),1,IF(AND(ABS(N18-E18)&gt;SQRT((E18-F18)^2+(N18-S18)^2),E18&gt;N18),3,2)))</f>
        <v>1</v>
      </c>
      <c r="I18" s="38">
        <v>0.18890993297100067</v>
      </c>
      <c r="J18" s="38"/>
      <c r="K18" s="38">
        <v>1</v>
      </c>
      <c r="L18" s="38"/>
      <c r="M18" s="38">
        <v>1.3570189476013184</v>
      </c>
      <c r="N18" s="80">
        <v>1</v>
      </c>
      <c r="O18" s="80">
        <f>VLOOKUP('Hide - Control'!C$3,'All practice data'!A:CA,A18+29,FALSE)</f>
        <v>1</v>
      </c>
      <c r="P18" s="38">
        <f>VLOOKUP('Hide - Control'!$B$4,'All practice data'!B:BC,A18+2,FALSE)</f>
        <v>2073</v>
      </c>
      <c r="Q18" s="38">
        <f>VLOOKUP('Hide - Control'!$B$4,'All practice data'!B:BC,14,FALSE)</f>
        <v>2073</v>
      </c>
      <c r="R18" s="81">
        <v>1</v>
      </c>
      <c r="S18" s="38">
        <v>1</v>
      </c>
      <c r="T18" s="53">
        <f t="shared" si="19"/>
        <v>1.3570189476013184</v>
      </c>
      <c r="U18" s="51">
        <f t="shared" si="20"/>
        <v>0.18890993297100067</v>
      </c>
      <c r="V18" s="7"/>
      <c r="W18" s="27">
        <f>IF((K18-I18)&gt;(M18-K18),I18,(K18-(M18-K18)))</f>
        <v>0.18890993297100067</v>
      </c>
      <c r="X18" s="27">
        <f t="shared" si="3"/>
        <v>1.8110900670289993</v>
      </c>
      <c r="Y18" s="27">
        <f t="shared" si="4"/>
        <v>0.18890993297100067</v>
      </c>
      <c r="Z18" s="27">
        <f t="shared" si="5"/>
        <v>1.8110900670289993</v>
      </c>
      <c r="AA18" s="32" t="s">
        <v>312</v>
      </c>
      <c r="AB18" s="33" t="s">
        <v>312</v>
      </c>
      <c r="AC18" s="33">
        <v>0.5</v>
      </c>
      <c r="AD18" s="33" t="s">
        <v>312</v>
      </c>
      <c r="AE18" s="33" t="s">
        <v>312</v>
      </c>
      <c r="AF18" s="33">
        <f t="shared" si="10"/>
        <v>-999</v>
      </c>
      <c r="AG18" s="33">
        <f t="shared" si="11"/>
        <v>-999</v>
      </c>
      <c r="AH18" s="33">
        <f t="shared" si="12"/>
        <v>0.3863708592344223</v>
      </c>
      <c r="AI18" s="34">
        <v>0.5</v>
      </c>
      <c r="AJ18" s="4">
        <v>14.538000971640056</v>
      </c>
      <c r="AK18" s="32">
        <f t="shared" si="14"/>
        <v>0.3863708592344223</v>
      </c>
      <c r="AL18" s="34">
        <f t="shared" si="15"/>
        <v>-999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0.09375</v>
      </c>
      <c r="F19" s="38">
        <f>IF(LEFT(VLOOKUP($B19,'Indicator chart'!$D$1:$J$36,6,FALSE),1)=" "," ",VLOOKUP($B19,'Indicator chart'!$D$1:$J$36,6,FALSE))</f>
        <v>0.050107540469390296</v>
      </c>
      <c r="G19" s="38">
        <f>IF(LEFT(VLOOKUP($B19,'Indicator chart'!$D$1:$J$36,7,FALSE),1)=" "," ",VLOOKUP($B19,'Indicator chart'!$D$1:$J$36,7,FALSE))</f>
        <v>0.16865497936202267</v>
      </c>
      <c r="H19" s="50">
        <f t="shared" si="0"/>
        <v>2</v>
      </c>
      <c r="I19" s="38">
        <v>0.02070442959666252</v>
      </c>
      <c r="J19" s="38">
        <v>0.05530302971601486</v>
      </c>
      <c r="K19" s="38">
        <v>0.10279212146997452</v>
      </c>
      <c r="L19" s="38">
        <v>0.15592515468597412</v>
      </c>
      <c r="M19" s="38">
        <v>1</v>
      </c>
      <c r="N19" s="80">
        <f>VLOOKUP('Hide - Control'!B$3,'All practice data'!A:CA,A19+29,FALSE)</f>
        <v>0.10274963820549927</v>
      </c>
      <c r="O19" s="80">
        <f>VLOOKUP('Hide - Control'!C$3,'All practice data'!A:CA,A19+29,FALSE)</f>
        <v>0.10919341638628717</v>
      </c>
      <c r="P19" s="38">
        <f>VLOOKUP('Hide - Control'!$B$4,'All practice data'!B:BC,A19+2,FALSE)</f>
        <v>213</v>
      </c>
      <c r="Q19" s="38">
        <f>VLOOKUP('Hide - Control'!$B$4,'All practice data'!B:BC,15,FALSE)</f>
        <v>2073</v>
      </c>
      <c r="R19" s="38">
        <f>+((2*P19+1.96^2-1.96*SQRT(1.96^2+4*P19*(1-P19/Q19)))/(2*(Q19+1.96^2)))</f>
        <v>0.09040504521360798</v>
      </c>
      <c r="S19" s="38">
        <f>+((2*P19+1.96^2+1.96*SQRT(1.96^2+4*P19*(1-P19/Q19)))/(2*(Q19+1.96^2)))</f>
        <v>0.11656384446964949</v>
      </c>
      <c r="T19" s="53">
        <f t="shared" si="19"/>
        <v>1</v>
      </c>
      <c r="U19" s="51">
        <f t="shared" si="20"/>
        <v>0.02070442959666252</v>
      </c>
      <c r="V19" s="7"/>
      <c r="W19" s="27">
        <f t="shared" si="2"/>
        <v>-0.794415757060051</v>
      </c>
      <c r="X19" s="27">
        <f t="shared" si="3"/>
        <v>1</v>
      </c>
      <c r="Y19" s="27">
        <f t="shared" si="4"/>
        <v>-0.794415757060051</v>
      </c>
      <c r="Z19" s="27">
        <f t="shared" si="5"/>
        <v>1</v>
      </c>
      <c r="AA19" s="32">
        <f t="shared" si="6"/>
        <v>0.45425380570230645</v>
      </c>
      <c r="AB19" s="33">
        <f t="shared" si="7"/>
        <v>0.47353506757443703</v>
      </c>
      <c r="AC19" s="33">
        <v>0.5</v>
      </c>
      <c r="AD19" s="33">
        <f t="shared" si="8"/>
        <v>0.5296102132445895</v>
      </c>
      <c r="AE19" s="33">
        <f t="shared" si="9"/>
        <v>1</v>
      </c>
      <c r="AF19" s="33">
        <f t="shared" si="10"/>
        <v>-999</v>
      </c>
      <c r="AG19" s="33">
        <f t="shared" si="11"/>
        <v>0.49496096630092623</v>
      </c>
      <c r="AH19" s="33">
        <f t="shared" si="12"/>
        <v>-999</v>
      </c>
      <c r="AI19" s="34">
        <f t="shared" si="13"/>
        <v>0.5035673421229875</v>
      </c>
      <c r="AJ19" s="4">
        <v>15.61399639702198</v>
      </c>
      <c r="AK19" s="32">
        <f t="shared" si="14"/>
        <v>-999</v>
      </c>
      <c r="AL19" s="34">
        <f t="shared" si="15"/>
        <v>-999</v>
      </c>
      <c r="AY19" s="103" t="s">
        <v>270</v>
      </c>
      <c r="AZ19" s="103" t="s">
        <v>431</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30</v>
      </c>
      <c r="E20" s="38">
        <f>IF(LEFT(VLOOKUP($B20,'Indicator chart'!$D$1:$J$36,5,FALSE),1)=" "," ",VLOOKUP($B20,'Indicator chart'!$D$1:$J$36,5,FALSE))</f>
        <v>0.3</v>
      </c>
      <c r="F20" s="38">
        <f>IF(LEFT(VLOOKUP($B20,'Indicator chart'!$D$1:$J$36,6,FALSE),1)=" "," ",VLOOKUP($B20,'Indicator chart'!$D$1:$J$36,6,FALSE))</f>
        <v>0.16664562643958938</v>
      </c>
      <c r="G20" s="38">
        <f>IF(LEFT(VLOOKUP($B20,'Indicator chart'!$D$1:$J$36,7,FALSE),1)=" "," ",VLOOKUP($B20,'Indicator chart'!$D$1:$J$36,7,FALSE))</f>
        <v>0.4787612101166019</v>
      </c>
      <c r="H20" s="50">
        <f t="shared" si="0"/>
        <v>2</v>
      </c>
      <c r="I20" s="38">
        <v>0.09238772839307785</v>
      </c>
      <c r="J20" s="38">
        <v>0.26406925916671753</v>
      </c>
      <c r="K20" s="38">
        <v>0.3333333432674408</v>
      </c>
      <c r="L20" s="38">
        <v>0.46173468232154846</v>
      </c>
      <c r="M20" s="38">
        <v>0.7272727489471436</v>
      </c>
      <c r="N20" s="80">
        <f>VLOOKUP('Hide - Control'!B$3,'All practice data'!A:CA,A20+29,FALSE)</f>
        <v>0.3526490066225166</v>
      </c>
      <c r="O20" s="80">
        <f>VLOOKUP('Hide - Control'!C$3,'All practice data'!A:CA,A20+29,FALSE)</f>
        <v>0.4534552930810221</v>
      </c>
      <c r="P20" s="38">
        <f>VLOOKUP('Hide - Control'!$B$4,'All practice data'!B:BC,A20+1,FALSE)</f>
        <v>213</v>
      </c>
      <c r="Q20" s="38">
        <f>VLOOKUP('Hide - Control'!$B$4,'All practice data'!B:BC,A20+2,FALSE)</f>
        <v>604</v>
      </c>
      <c r="R20" s="38">
        <f>+((2*P20+1.96^2-1.96*SQRT(1.96^2+4*P20*(1-P20/Q20)))/(2*(Q20+1.96^2)))</f>
        <v>0.315584737496569</v>
      </c>
      <c r="S20" s="38">
        <f>+((2*P20+1.96^2+1.96*SQRT(1.96^2+4*P20*(1-P20/Q20)))/(2*(Q20+1.96^2)))</f>
        <v>0.39157581222559545</v>
      </c>
      <c r="T20" s="53">
        <f t="shared" si="19"/>
        <v>0.7272727489471436</v>
      </c>
      <c r="U20" s="51">
        <f t="shared" si="20"/>
        <v>0.09238772839307785</v>
      </c>
      <c r="V20" s="7"/>
      <c r="W20" s="27">
        <f t="shared" si="2"/>
        <v>-0.06060606241226196</v>
      </c>
      <c r="X20" s="27">
        <f t="shared" si="3"/>
        <v>0.7272727489471436</v>
      </c>
      <c r="Y20" s="27">
        <f t="shared" si="4"/>
        <v>-0.06060606241226196</v>
      </c>
      <c r="Z20" s="27">
        <f t="shared" si="5"/>
        <v>0.7272727489471436</v>
      </c>
      <c r="AA20" s="32">
        <f t="shared" si="6"/>
        <v>0.19418442100424613</v>
      </c>
      <c r="AB20" s="33">
        <f t="shared" si="7"/>
        <v>0.4120878958767592</v>
      </c>
      <c r="AC20" s="33">
        <v>0.5</v>
      </c>
      <c r="AD20" s="33">
        <f t="shared" si="8"/>
        <v>0.6629709254809938</v>
      </c>
      <c r="AE20" s="33">
        <f t="shared" si="9"/>
        <v>1</v>
      </c>
      <c r="AF20" s="33">
        <f t="shared" si="10"/>
        <v>-999</v>
      </c>
      <c r="AG20" s="33">
        <f t="shared" si="11"/>
        <v>0.45769229634450065</v>
      </c>
      <c r="AH20" s="33">
        <f t="shared" si="12"/>
        <v>-999</v>
      </c>
      <c r="AI20" s="34">
        <f t="shared" si="13"/>
        <v>0.6524624702196559</v>
      </c>
      <c r="AJ20" s="4">
        <v>16.689991822403904</v>
      </c>
      <c r="AK20" s="32">
        <f t="shared" si="14"/>
        <v>-999</v>
      </c>
      <c r="AL20" s="34">
        <f t="shared" si="15"/>
        <v>-999</v>
      </c>
      <c r="AY20" s="103" t="s">
        <v>211</v>
      </c>
      <c r="AZ20" s="103" t="s">
        <v>412</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440.1823612639522</v>
      </c>
      <c r="F21" s="38">
        <f>IF(LEFT(VLOOKUP($B21,'Indicator chart'!$D$1:$J$36,6,FALSE),1)=" "," ",VLOOKUP($B21,'Indicator chart'!$D$1:$J$36,6,FALSE))</f>
        <v>292.4310883125605</v>
      </c>
      <c r="G21" s="38">
        <f>IF(LEFT(VLOOKUP($B21,'Indicator chart'!$D$1:$J$36,7,FALSE),1)=" "," ",VLOOKUP($B21,'Indicator chart'!$D$1:$J$36,7,FALSE))</f>
        <v>636.2136732434537</v>
      </c>
      <c r="H21" s="50">
        <f t="shared" si="0"/>
        <v>3</v>
      </c>
      <c r="I21" s="38">
        <v>56.8397102355957</v>
      </c>
      <c r="J21" s="38">
        <v>62.321537017822266</v>
      </c>
      <c r="K21" s="38">
        <v>196.04489135742188</v>
      </c>
      <c r="L21" s="38">
        <v>283.43267822265625</v>
      </c>
      <c r="M21" s="38">
        <v>548.780517578125</v>
      </c>
      <c r="N21" s="80">
        <f>VLOOKUP('Hide - Control'!B$3,'All practice data'!A:CA,A21+29,FALSE)</f>
        <v>192.85940453459474</v>
      </c>
      <c r="O21" s="80">
        <f>VLOOKUP('Hide - Control'!C$3,'All practice data'!A:CA,A21+29,FALSE)</f>
        <v>377.7293140102421</v>
      </c>
      <c r="P21" s="38">
        <f>VLOOKUP('Hide - Control'!$B$4,'All practice data'!B:BC,A21+2,FALSE)</f>
        <v>402</v>
      </c>
      <c r="Q21" s="38">
        <f>VLOOKUP('Hide - Control'!$B$4,'All practice data'!B:BC,3,FALSE)</f>
        <v>208442</v>
      </c>
      <c r="R21" s="38">
        <f aca="true" t="shared" si="21" ref="R21:R27">100000*(P21*(1-1/(9*P21)-1.96/(3*SQRT(P21)))^3)/Q21</f>
        <v>174.46429801202234</v>
      </c>
      <c r="S21" s="38">
        <f aca="true" t="shared" si="22" ref="S21:S27">100000*((P21+1)*(1-1/(9*(P21+1))+1.96/(3*SQRT(P21+1)))^3)/Q21</f>
        <v>212.66628714714088</v>
      </c>
      <c r="T21" s="53">
        <f t="shared" si="19"/>
        <v>548.780517578125</v>
      </c>
      <c r="U21" s="51">
        <f t="shared" si="20"/>
        <v>56.8397102355957</v>
      </c>
      <c r="V21" s="7"/>
      <c r="W21" s="27">
        <f t="shared" si="2"/>
        <v>-156.69073486328125</v>
      </c>
      <c r="X21" s="27">
        <f t="shared" si="3"/>
        <v>548.780517578125</v>
      </c>
      <c r="Y21" s="27">
        <f t="shared" si="4"/>
        <v>-156.69073486328125</v>
      </c>
      <c r="Z21" s="27">
        <f t="shared" si="5"/>
        <v>548.780517578125</v>
      </c>
      <c r="AA21" s="32">
        <f t="shared" si="6"/>
        <v>0.3026777410984751</v>
      </c>
      <c r="AB21" s="33">
        <f t="shared" si="7"/>
        <v>0.31044818782221584</v>
      </c>
      <c r="AC21" s="33">
        <v>0.5</v>
      </c>
      <c r="AD21" s="33">
        <f t="shared" si="8"/>
        <v>0.6238715065466008</v>
      </c>
      <c r="AE21" s="33">
        <f t="shared" si="9"/>
        <v>1</v>
      </c>
      <c r="AF21" s="33">
        <f t="shared" si="10"/>
        <v>-999</v>
      </c>
      <c r="AG21" s="33">
        <f t="shared" si="11"/>
        <v>-999</v>
      </c>
      <c r="AH21" s="33">
        <f t="shared" si="12"/>
        <v>0.846062960130055</v>
      </c>
      <c r="AI21" s="34">
        <f t="shared" si="13"/>
        <v>0.7575362525745303</v>
      </c>
      <c r="AJ21" s="4">
        <v>17.765987247785823</v>
      </c>
      <c r="AK21" s="32">
        <f t="shared" si="14"/>
        <v>-999</v>
      </c>
      <c r="AL21" s="34">
        <f t="shared" si="15"/>
        <v>0.846062960130055</v>
      </c>
      <c r="AY21" s="103" t="s">
        <v>123</v>
      </c>
      <c r="AZ21" s="103" t="s">
        <v>386</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220.0911806319761</v>
      </c>
      <c r="F22" s="38">
        <f>IF(LEFT(VLOOKUP($B22,'Indicator chart'!$D$1:$J$36,6,FALSE),1)=" "," ",VLOOKUP($B22,'Indicator chart'!$D$1:$J$36,6,FALSE))</f>
        <v>120.2238744025185</v>
      </c>
      <c r="G22" s="38">
        <f>IF(LEFT(VLOOKUP($B22,'Indicator chart'!$D$1:$J$36,7,FALSE),1)=" "," ",VLOOKUP($B22,'Indicator chart'!$D$1:$J$36,7,FALSE))</f>
        <v>369.3002026005778</v>
      </c>
      <c r="H22" s="50">
        <f t="shared" si="0"/>
        <v>2</v>
      </c>
      <c r="I22" s="38">
        <v>18.07059669494629</v>
      </c>
      <c r="J22" s="38">
        <v>60.73863983154297</v>
      </c>
      <c r="K22" s="38">
        <v>121.59703063964844</v>
      </c>
      <c r="L22" s="38">
        <v>236.578857421875</v>
      </c>
      <c r="M22" s="38">
        <v>541.3941040039062</v>
      </c>
      <c r="N22" s="80">
        <f>VLOOKUP('Hide - Control'!B$3,'All practice data'!A:CA,A22+29,FALSE)</f>
        <v>165.99341783325818</v>
      </c>
      <c r="O22" s="80">
        <f>VLOOKUP('Hide - Control'!C$3,'All practice data'!A:CA,A22+29,FALSE)</f>
        <v>282.45290788403287</v>
      </c>
      <c r="P22" s="38">
        <f>VLOOKUP('Hide - Control'!$B$4,'All practice data'!B:BC,A22+2,FALSE)</f>
        <v>346</v>
      </c>
      <c r="Q22" s="38">
        <f>VLOOKUP('Hide - Control'!$B$4,'All practice data'!B:BC,3,FALSE)</f>
        <v>208442</v>
      </c>
      <c r="R22" s="38">
        <f t="shared" si="21"/>
        <v>148.9609617851526</v>
      </c>
      <c r="S22" s="38">
        <f t="shared" si="22"/>
        <v>184.43943340790298</v>
      </c>
      <c r="T22" s="53">
        <f t="shared" si="19"/>
        <v>541.3941040039062</v>
      </c>
      <c r="U22" s="51">
        <f t="shared" si="20"/>
        <v>18.07059669494629</v>
      </c>
      <c r="V22" s="7"/>
      <c r="W22" s="27">
        <f t="shared" si="2"/>
        <v>-298.2000427246094</v>
      </c>
      <c r="X22" s="27">
        <f t="shared" si="3"/>
        <v>541.3941040039062</v>
      </c>
      <c r="Y22" s="27">
        <f t="shared" si="4"/>
        <v>-298.2000427246094</v>
      </c>
      <c r="Z22" s="27">
        <f t="shared" si="5"/>
        <v>541.3941040039062</v>
      </c>
      <c r="AA22" s="32">
        <f t="shared" si="6"/>
        <v>0.3766946692659857</v>
      </c>
      <c r="AB22" s="33">
        <f t="shared" si="7"/>
        <v>0.42751451276162344</v>
      </c>
      <c r="AC22" s="33">
        <v>0.5</v>
      </c>
      <c r="AD22" s="33">
        <f t="shared" si="8"/>
        <v>0.6369492953592567</v>
      </c>
      <c r="AE22" s="33">
        <f t="shared" si="9"/>
        <v>1</v>
      </c>
      <c r="AF22" s="33">
        <f t="shared" si="10"/>
        <v>-999</v>
      </c>
      <c r="AG22" s="33">
        <f t="shared" si="11"/>
        <v>0.6173116205920574</v>
      </c>
      <c r="AH22" s="33">
        <f t="shared" si="12"/>
        <v>-999</v>
      </c>
      <c r="AI22" s="34">
        <f t="shared" si="13"/>
        <v>0.691587659193624</v>
      </c>
      <c r="AJ22" s="4">
        <v>18.841982673167745</v>
      </c>
      <c r="AK22" s="32">
        <f t="shared" si="14"/>
        <v>-999</v>
      </c>
      <c r="AL22" s="34">
        <f t="shared" si="15"/>
        <v>-999</v>
      </c>
      <c r="AY22" s="103" t="s">
        <v>149</v>
      </c>
      <c r="AZ22" s="103" t="s">
        <v>396</v>
      </c>
      <c r="BA22" s="103" t="s">
        <v>312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94.32479169941833</v>
      </c>
      <c r="F23" s="38">
        <f>IF(LEFT(VLOOKUP($B23,'Indicator chart'!$D$1:$J$36,6,FALSE),1)=" "," ",VLOOKUP($B23,'Indicator chart'!$D$1:$J$36,6,FALSE))</f>
        <v>34.44333816512623</v>
      </c>
      <c r="G23" s="38">
        <f>IF(LEFT(VLOOKUP($B23,'Indicator chart'!$D$1:$J$36,7,FALSE),1)=" "," ",VLOOKUP($B23,'Indicator chart'!$D$1:$J$36,7,FALSE))</f>
        <v>205.31198347237478</v>
      </c>
      <c r="H23" s="50">
        <f t="shared" si="0"/>
        <v>2</v>
      </c>
      <c r="I23" s="38">
        <v>3.248678207397461</v>
      </c>
      <c r="J23" s="38">
        <v>22.55297088623047</v>
      </c>
      <c r="K23" s="38">
        <v>51.74873352050781</v>
      </c>
      <c r="L23" s="38">
        <v>98.25769805908203</v>
      </c>
      <c r="M23" s="38">
        <v>162.51904296875</v>
      </c>
      <c r="N23" s="80">
        <f>VLOOKUP('Hide - Control'!B$3,'All practice data'!A:CA,A23+29,FALSE)</f>
        <v>66.20546722829373</v>
      </c>
      <c r="O23" s="80">
        <f>VLOOKUP('Hide - Control'!C$3,'All practice data'!A:CA,A23+29,FALSE)</f>
        <v>70.46674929228394</v>
      </c>
      <c r="P23" s="38">
        <f>VLOOKUP('Hide - Control'!$B$4,'All practice data'!B:BC,A23+2,FALSE)</f>
        <v>138</v>
      </c>
      <c r="Q23" s="38">
        <f>VLOOKUP('Hide - Control'!$B$4,'All practice data'!B:BC,3,FALSE)</f>
        <v>208442</v>
      </c>
      <c r="R23" s="38">
        <f t="shared" si="21"/>
        <v>55.61977602019361</v>
      </c>
      <c r="S23" s="38">
        <f t="shared" si="22"/>
        <v>78.21898992985611</v>
      </c>
      <c r="T23" s="53">
        <f t="shared" si="19"/>
        <v>162.51904296875</v>
      </c>
      <c r="U23" s="51">
        <f t="shared" si="20"/>
        <v>3.248678207397461</v>
      </c>
      <c r="V23" s="7"/>
      <c r="W23" s="27">
        <f t="shared" si="2"/>
        <v>-59.021575927734375</v>
      </c>
      <c r="X23" s="27">
        <f t="shared" si="3"/>
        <v>162.51904296875</v>
      </c>
      <c r="Y23" s="27">
        <f t="shared" si="4"/>
        <v>-59.021575927734375</v>
      </c>
      <c r="Z23" s="27">
        <f t="shared" si="5"/>
        <v>162.51904296875</v>
      </c>
      <c r="AA23" s="32">
        <f t="shared" si="6"/>
        <v>0.28107827108774047</v>
      </c>
      <c r="AB23" s="33">
        <f t="shared" si="7"/>
        <v>0.36821485477604826</v>
      </c>
      <c r="AC23" s="33">
        <v>0.5</v>
      </c>
      <c r="AD23" s="33">
        <f t="shared" si="8"/>
        <v>0.709934253909012</v>
      </c>
      <c r="AE23" s="33">
        <f t="shared" si="9"/>
        <v>1</v>
      </c>
      <c r="AF23" s="33">
        <f t="shared" si="10"/>
        <v>-999</v>
      </c>
      <c r="AG23" s="33">
        <f t="shared" si="11"/>
        <v>0.6921817244665381</v>
      </c>
      <c r="AH23" s="33">
        <f t="shared" si="12"/>
        <v>-999</v>
      </c>
      <c r="AI23" s="34">
        <f t="shared" si="13"/>
        <v>0.5844902206422118</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157.2079861656972</v>
      </c>
      <c r="F24" s="38">
        <f>IF(LEFT(VLOOKUP($B24,'Indicator chart'!$D$1:$J$36,6,FALSE),1)=" "," ",VLOOKUP($B24,'Indicator chart'!$D$1:$J$36,6,FALSE))</f>
        <v>75.2614402693539</v>
      </c>
      <c r="G24" s="38">
        <f>IF(LEFT(VLOOKUP($B24,'Indicator chart'!$D$1:$J$36,7,FALSE),1)=" "," ",VLOOKUP($B24,'Indicator chart'!$D$1:$J$36,7,FALSE))</f>
        <v>289.13106231803994</v>
      </c>
      <c r="H24" s="50">
        <f t="shared" si="0"/>
        <v>2</v>
      </c>
      <c r="I24" s="38">
        <v>27.3076171875</v>
      </c>
      <c r="J24" s="38">
        <v>37.69227981567383</v>
      </c>
      <c r="K24" s="38">
        <v>132.4623260498047</v>
      </c>
      <c r="L24" s="38">
        <v>210.9373779296875</v>
      </c>
      <c r="M24" s="38">
        <v>330.9266052246094</v>
      </c>
      <c r="N24" s="80">
        <f>VLOOKUP('Hide - Control'!B$3,'All practice data'!A:CA,A24+29,FALSE)</f>
        <v>138.16793160687385</v>
      </c>
      <c r="O24" s="80">
        <f>VLOOKUP('Hide - Control'!C$3,'All practice data'!A:CA,A24+29,FALSE)</f>
        <v>323.23046266988894</v>
      </c>
      <c r="P24" s="38">
        <f>VLOOKUP('Hide - Control'!$B$4,'All practice data'!B:BC,A24+2,FALSE)</f>
        <v>288</v>
      </c>
      <c r="Q24" s="38">
        <f>VLOOKUP('Hide - Control'!$B$4,'All practice data'!B:BC,3,FALSE)</f>
        <v>208442</v>
      </c>
      <c r="R24" s="38">
        <f t="shared" si="21"/>
        <v>122.66902030204137</v>
      </c>
      <c r="S24" s="38">
        <f t="shared" si="22"/>
        <v>155.0827683691316</v>
      </c>
      <c r="T24" s="53">
        <f t="shared" si="19"/>
        <v>330.9266052246094</v>
      </c>
      <c r="U24" s="51">
        <f t="shared" si="20"/>
        <v>27.3076171875</v>
      </c>
      <c r="V24" s="7"/>
      <c r="W24" s="27">
        <f t="shared" si="2"/>
        <v>-66.001953125</v>
      </c>
      <c r="X24" s="27">
        <f t="shared" si="3"/>
        <v>330.9266052246094</v>
      </c>
      <c r="Y24" s="27">
        <f t="shared" si="4"/>
        <v>-66.001953125</v>
      </c>
      <c r="Z24" s="27">
        <f t="shared" si="5"/>
        <v>330.9266052246094</v>
      </c>
      <c r="AA24" s="32">
        <f t="shared" si="6"/>
        <v>0.23507900439432272</v>
      </c>
      <c r="AB24" s="33">
        <f t="shared" si="7"/>
        <v>0.2612415528170219</v>
      </c>
      <c r="AC24" s="33">
        <v>0.5</v>
      </c>
      <c r="AD24" s="33">
        <f t="shared" si="8"/>
        <v>0.6977057337627066</v>
      </c>
      <c r="AE24" s="33">
        <f t="shared" si="9"/>
        <v>1</v>
      </c>
      <c r="AF24" s="33">
        <f t="shared" si="10"/>
        <v>-999</v>
      </c>
      <c r="AG24" s="33">
        <f t="shared" si="11"/>
        <v>0.5623428564041413</v>
      </c>
      <c r="AH24" s="33">
        <f t="shared" si="12"/>
        <v>-999</v>
      </c>
      <c r="AI24" s="34">
        <f t="shared" si="13"/>
        <v>0.9806107613251104</v>
      </c>
      <c r="AJ24" s="4">
        <v>20.99397352393159</v>
      </c>
      <c r="AK24" s="32">
        <f t="shared" si="14"/>
        <v>-999</v>
      </c>
      <c r="AL24" s="34">
        <f t="shared" si="15"/>
        <v>-999</v>
      </c>
      <c r="AY24" s="103" t="s">
        <v>65</v>
      </c>
      <c r="AZ24" s="103" t="s">
        <v>66</v>
      </c>
      <c r="BA24" s="103" t="s">
        <v>492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440.1823612639522</v>
      </c>
      <c r="F25" s="38">
        <f>IF(LEFT(VLOOKUP($B25,'Indicator chart'!$D$1:$J$36,6,FALSE),1)=" "," ",VLOOKUP($B25,'Indicator chart'!$D$1:$J$36,6,FALSE))</f>
        <v>292.4310883125605</v>
      </c>
      <c r="G25" s="38">
        <f>IF(LEFT(VLOOKUP($B25,'Indicator chart'!$D$1:$J$36,7,FALSE),1)=" "," ",VLOOKUP($B25,'Indicator chart'!$D$1:$J$36,7,FALSE))</f>
        <v>636.2136732434537</v>
      </c>
      <c r="H25" s="50">
        <f t="shared" si="0"/>
        <v>2</v>
      </c>
      <c r="I25" s="38">
        <v>169.72689819335938</v>
      </c>
      <c r="J25" s="38">
        <v>193.2623748779297</v>
      </c>
      <c r="K25" s="38">
        <v>304.6803894042969</v>
      </c>
      <c r="L25" s="38">
        <v>423.0019836425781</v>
      </c>
      <c r="M25" s="38">
        <v>744.4168701171875</v>
      </c>
      <c r="N25" s="80">
        <f>VLOOKUP('Hide - Control'!B$3,'All practice data'!A:CA,A25+29,FALSE)</f>
        <v>327.18933804127767</v>
      </c>
      <c r="O25" s="80">
        <f>VLOOKUP('Hide - Control'!C$3,'All practice data'!A:CA,A25+29,FALSE)</f>
        <v>562.6134400960308</v>
      </c>
      <c r="P25" s="38">
        <f>VLOOKUP('Hide - Control'!$B$4,'All practice data'!B:BC,A25+2,FALSE)</f>
        <v>682</v>
      </c>
      <c r="Q25" s="38">
        <f>VLOOKUP('Hide - Control'!$B$4,'All practice data'!B:BC,3,FALSE)</f>
        <v>208442</v>
      </c>
      <c r="R25" s="38">
        <f t="shared" si="21"/>
        <v>303.09025523436793</v>
      </c>
      <c r="S25" s="38">
        <f t="shared" si="22"/>
        <v>352.69485926739594</v>
      </c>
      <c r="T25" s="53">
        <f t="shared" si="19"/>
        <v>744.4168701171875</v>
      </c>
      <c r="U25" s="51">
        <f t="shared" si="20"/>
        <v>169.72689819335938</v>
      </c>
      <c r="V25" s="7"/>
      <c r="W25" s="27">
        <f t="shared" si="2"/>
        <v>-135.05609130859375</v>
      </c>
      <c r="X25" s="27">
        <f t="shared" si="3"/>
        <v>744.4168701171875</v>
      </c>
      <c r="Y25" s="27">
        <f t="shared" si="4"/>
        <v>-135.05609130859375</v>
      </c>
      <c r="Z25" s="27">
        <f t="shared" si="5"/>
        <v>744.4168701171875</v>
      </c>
      <c r="AA25" s="32">
        <f t="shared" si="6"/>
        <v>0.3465518587494105</v>
      </c>
      <c r="AB25" s="33">
        <f t="shared" si="7"/>
        <v>0.3733127459134856</v>
      </c>
      <c r="AC25" s="33">
        <v>0.5</v>
      </c>
      <c r="AD25" s="33">
        <f t="shared" si="8"/>
        <v>0.6345369322627736</v>
      </c>
      <c r="AE25" s="33">
        <f t="shared" si="9"/>
        <v>1</v>
      </c>
      <c r="AF25" s="33">
        <f t="shared" si="10"/>
        <v>-999</v>
      </c>
      <c r="AG25" s="33">
        <f t="shared" si="11"/>
        <v>0.6540717882218717</v>
      </c>
      <c r="AH25" s="33">
        <f t="shared" si="12"/>
        <v>-999</v>
      </c>
      <c r="AI25" s="34">
        <f t="shared" si="13"/>
        <v>0.7932813878366184</v>
      </c>
      <c r="AJ25" s="4">
        <v>22.06996894931352</v>
      </c>
      <c r="AK25" s="32">
        <f t="shared" si="14"/>
        <v>-999</v>
      </c>
      <c r="AL25" s="34">
        <f t="shared" si="15"/>
        <v>-999</v>
      </c>
      <c r="AY25" s="103" t="s">
        <v>257</v>
      </c>
      <c r="AZ25" s="103" t="s">
        <v>258</v>
      </c>
      <c r="BA25" s="103" t="s">
        <v>492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440.1823612639522</v>
      </c>
      <c r="F26" s="38">
        <f>IF(LEFT(VLOOKUP($B26,'Indicator chart'!$D$1:$J$36,6,FALSE),1)=" "," ",VLOOKUP($B26,'Indicator chart'!$D$1:$J$36,6,FALSE))</f>
        <v>292.4310883125605</v>
      </c>
      <c r="G26" s="38">
        <f>IF(LEFT(VLOOKUP($B26,'Indicator chart'!$D$1:$J$36,7,FALSE),1)=" "," ",VLOOKUP($B26,'Indicator chart'!$D$1:$J$36,7,FALSE))</f>
        <v>636.2136732434537</v>
      </c>
      <c r="H26" s="50">
        <f t="shared" si="0"/>
        <v>2</v>
      </c>
      <c r="I26" s="38">
        <v>112.1823501586914</v>
      </c>
      <c r="J26" s="38">
        <v>220.36817932128906</v>
      </c>
      <c r="K26" s="38">
        <v>342.39642333984375</v>
      </c>
      <c r="L26" s="38">
        <v>386.4854736328125</v>
      </c>
      <c r="M26" s="38">
        <v>1150.46240234375</v>
      </c>
      <c r="N26" s="80">
        <f>VLOOKUP('Hide - Control'!B$3,'All practice data'!A:CA,A26+29,FALSE)</f>
        <v>343.98057972961305</v>
      </c>
      <c r="O26" s="80">
        <f>VLOOKUP('Hide - Control'!C$3,'All practice data'!A:CA,A26+29,FALSE)</f>
        <v>405.57105879375996</v>
      </c>
      <c r="P26" s="38">
        <f>VLOOKUP('Hide - Control'!$B$4,'All practice data'!B:BC,A26+2,FALSE)</f>
        <v>717</v>
      </c>
      <c r="Q26" s="38">
        <f>VLOOKUP('Hide - Control'!$B$4,'All practice data'!B:BC,3,FALSE)</f>
        <v>208442</v>
      </c>
      <c r="R26" s="38">
        <f t="shared" si="21"/>
        <v>319.25920221900907</v>
      </c>
      <c r="S26" s="38">
        <f t="shared" si="22"/>
        <v>370.107958296781</v>
      </c>
      <c r="T26" s="53">
        <f t="shared" si="19"/>
        <v>1150.46240234375</v>
      </c>
      <c r="U26" s="51">
        <f t="shared" si="20"/>
        <v>112.1823501586914</v>
      </c>
      <c r="V26" s="7"/>
      <c r="W26" s="27">
        <f t="shared" si="2"/>
        <v>-465.6695556640625</v>
      </c>
      <c r="X26" s="27">
        <f t="shared" si="3"/>
        <v>1150.46240234375</v>
      </c>
      <c r="Y26" s="27">
        <f t="shared" si="4"/>
        <v>-465.6695556640625</v>
      </c>
      <c r="Z26" s="27">
        <f t="shared" si="5"/>
        <v>1150.46240234375</v>
      </c>
      <c r="AA26" s="32">
        <f t="shared" si="6"/>
        <v>0.35755242816624044</v>
      </c>
      <c r="AB26" s="33">
        <f t="shared" si="7"/>
        <v>0.42449363839758636</v>
      </c>
      <c r="AC26" s="33">
        <v>0.5</v>
      </c>
      <c r="AD26" s="33">
        <f t="shared" si="8"/>
        <v>0.5272806004946012</v>
      </c>
      <c r="AE26" s="33">
        <f t="shared" si="9"/>
        <v>1</v>
      </c>
      <c r="AF26" s="33">
        <f t="shared" si="10"/>
        <v>-999</v>
      </c>
      <c r="AG26" s="33">
        <f t="shared" si="11"/>
        <v>0.5605061594380252</v>
      </c>
      <c r="AH26" s="33">
        <f t="shared" si="12"/>
        <v>-999</v>
      </c>
      <c r="AI26" s="34">
        <f t="shared" si="13"/>
        <v>0.5390900230274456</v>
      </c>
      <c r="AJ26" s="4">
        <v>23.145964374695435</v>
      </c>
      <c r="AK26" s="32">
        <f t="shared" si="14"/>
        <v>-999</v>
      </c>
      <c r="AL26" s="34">
        <f t="shared" si="15"/>
        <v>-999</v>
      </c>
      <c r="AY26" s="103" t="s">
        <v>120</v>
      </c>
      <c r="AZ26" s="103" t="s">
        <v>385</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52</v>
      </c>
      <c r="E27" s="38">
        <f>IF(LEFT(VLOOKUP($B27,'Indicator chart'!$D$1:$J$36,5,FALSE),1)=" "," ",VLOOKUP($B27,'Indicator chart'!$D$1:$J$36,5,FALSE))</f>
        <v>817.4815280616256</v>
      </c>
      <c r="F27" s="38">
        <f>IF(LEFT(VLOOKUP($B27,'Indicator chart'!$D$1:$J$36,6,FALSE),1)=" "," ",VLOOKUP($B27,'Indicator chart'!$D$1:$J$36,6,FALSE))</f>
        <v>610.4870015948505</v>
      </c>
      <c r="G27" s="38">
        <f>IF(LEFT(VLOOKUP($B27,'Indicator chart'!$D$1:$J$36,7,FALSE),1)=" "," ",VLOOKUP($B27,'Indicator chart'!$D$1:$J$36,7,FALSE))</f>
        <v>1072.0447992629665</v>
      </c>
      <c r="H27" s="50">
        <f t="shared" si="0"/>
        <v>2</v>
      </c>
      <c r="I27" s="38">
        <v>357.3023681640625</v>
      </c>
      <c r="J27" s="38">
        <v>593.7682495117188</v>
      </c>
      <c r="K27" s="38">
        <v>745.0468139648438</v>
      </c>
      <c r="L27" s="38">
        <v>855.9519653320312</v>
      </c>
      <c r="M27" s="38">
        <v>1502.629638671875</v>
      </c>
      <c r="N27" s="80">
        <f>VLOOKUP('Hide - Control'!B$3,'All practice data'!A:CA,A27+29,FALSE)</f>
        <v>767.599620038188</v>
      </c>
      <c r="O27" s="80">
        <f>VLOOKUP('Hide - Control'!C$3,'All practice data'!A:CA,A27+29,FALSE)</f>
        <v>1059.3522061277838</v>
      </c>
      <c r="P27" s="38">
        <f>VLOOKUP('Hide - Control'!$B$4,'All practice data'!B:BC,A27+2,FALSE)</f>
        <v>1600</v>
      </c>
      <c r="Q27" s="38">
        <f>VLOOKUP('Hide - Control'!$B$4,'All practice data'!B:BC,3,FALSE)</f>
        <v>208442</v>
      </c>
      <c r="R27" s="38">
        <f t="shared" si="21"/>
        <v>730.4435051188801</v>
      </c>
      <c r="S27" s="38">
        <f t="shared" si="22"/>
        <v>806.1560121956218</v>
      </c>
      <c r="T27" s="53">
        <f t="shared" si="19"/>
        <v>1502.629638671875</v>
      </c>
      <c r="U27" s="51">
        <f t="shared" si="20"/>
        <v>357.3023681640625</v>
      </c>
      <c r="V27" s="7"/>
      <c r="W27" s="27">
        <f t="shared" si="2"/>
        <v>-12.5360107421875</v>
      </c>
      <c r="X27" s="27">
        <f t="shared" si="3"/>
        <v>1502.629638671875</v>
      </c>
      <c r="Y27" s="27">
        <f t="shared" si="4"/>
        <v>-12.5360107421875</v>
      </c>
      <c r="Z27" s="27">
        <f t="shared" si="5"/>
        <v>1502.629638671875</v>
      </c>
      <c r="AA27" s="32">
        <f t="shared" si="6"/>
        <v>0.2440910530470857</v>
      </c>
      <c r="AB27" s="33">
        <f t="shared" si="7"/>
        <v>0.4001570788569377</v>
      </c>
      <c r="AC27" s="33">
        <v>0.5</v>
      </c>
      <c r="AD27" s="33">
        <f t="shared" si="8"/>
        <v>0.5731967170784766</v>
      </c>
      <c r="AE27" s="33">
        <f t="shared" si="9"/>
        <v>1</v>
      </c>
      <c r="AF27" s="33">
        <f t="shared" si="10"/>
        <v>-999</v>
      </c>
      <c r="AG27" s="33">
        <f t="shared" si="11"/>
        <v>0.5478064653358485</v>
      </c>
      <c r="AH27" s="33">
        <f t="shared" si="12"/>
        <v>-999</v>
      </c>
      <c r="AI27" s="34">
        <f t="shared" si="13"/>
        <v>0.7074396237035117</v>
      </c>
      <c r="AJ27" s="4">
        <v>24.221959800077364</v>
      </c>
      <c r="AK27" s="32">
        <f t="shared" si="14"/>
        <v>-999</v>
      </c>
      <c r="AL27" s="34">
        <f t="shared" si="15"/>
        <v>-999</v>
      </c>
      <c r="AY27" s="103" t="s">
        <v>115</v>
      </c>
      <c r="AZ27" s="103" t="s">
        <v>384</v>
      </c>
      <c r="BA27" s="103" t="s">
        <v>492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738.8775349787769</v>
      </c>
      <c r="F28" s="38">
        <f>IF(LEFT(VLOOKUP($B28,'Indicator chart'!$D$1:$J$36,6,FALSE),1)=" "," ",VLOOKUP($B28,'Indicator chart'!$D$1:$J$36,6,FALSE))</f>
        <v>542.849500238398</v>
      </c>
      <c r="G28" s="38">
        <f>IF(LEFT(VLOOKUP($B28,'Indicator chart'!$D$1:$J$36,7,FALSE),1)=" "," ",VLOOKUP($B28,'Indicator chart'!$D$1:$J$36,7,FALSE))</f>
        <v>982.5773076580341</v>
      </c>
      <c r="H28" s="50">
        <f t="shared" si="0"/>
        <v>3</v>
      </c>
      <c r="I28" s="38">
        <v>137.03993225097656</v>
      </c>
      <c r="J28" s="38">
        <v>271.9313659667969</v>
      </c>
      <c r="K28" s="38">
        <v>431.43389892578125</v>
      </c>
      <c r="L28" s="38">
        <v>546.99853515625</v>
      </c>
      <c r="M28" s="38">
        <v>976.709228515625</v>
      </c>
      <c r="N28" s="80">
        <f>VLOOKUP('Hide - Control'!B$3,'All practice data'!A:CA,A28+29,FALSE)</f>
        <v>464.3977701231038</v>
      </c>
      <c r="O28" s="80">
        <f>VLOOKUP('Hide - Control'!C$3,'All practice data'!A:CA,A28+29,FALSE)</f>
        <v>582.9390489900089</v>
      </c>
      <c r="P28" s="38">
        <f>VLOOKUP('Hide - Control'!$B$4,'All practice data'!B:BC,A28+2,FALSE)</f>
        <v>968</v>
      </c>
      <c r="Q28" s="38">
        <f>VLOOKUP('Hide - Control'!$B$4,'All practice data'!B:BC,3,FALSE)</f>
        <v>208442</v>
      </c>
      <c r="R28" s="38">
        <f>100000*(P28*(1-1/(9*P28)-1.96/(3*SQRT(P28)))^3)/Q28</f>
        <v>435.5989856514973</v>
      </c>
      <c r="S28" s="38">
        <f>100000*((P28+1)*(1-1/(9*(P28+1))+1.96/(3*SQRT(P28+1)))^3)/Q28</f>
        <v>494.6001467317693</v>
      </c>
      <c r="T28" s="53">
        <f t="shared" si="19"/>
        <v>976.709228515625</v>
      </c>
      <c r="U28" s="51">
        <f t="shared" si="20"/>
        <v>137.03993225097656</v>
      </c>
      <c r="V28" s="7"/>
      <c r="W28" s="27">
        <f t="shared" si="2"/>
        <v>-113.8414306640625</v>
      </c>
      <c r="X28" s="27">
        <f t="shared" si="3"/>
        <v>976.709228515625</v>
      </c>
      <c r="Y28" s="27">
        <f t="shared" si="4"/>
        <v>-113.8414306640625</v>
      </c>
      <c r="Z28" s="27">
        <f t="shared" si="5"/>
        <v>976.709228515625</v>
      </c>
      <c r="AA28" s="32">
        <f t="shared" si="6"/>
        <v>0.2300501685118893</v>
      </c>
      <c r="AB28" s="33">
        <f t="shared" si="7"/>
        <v>0.3537412896719881</v>
      </c>
      <c r="AC28" s="33">
        <v>0.5</v>
      </c>
      <c r="AD28" s="33">
        <f t="shared" si="8"/>
        <v>0.6059690673309909</v>
      </c>
      <c r="AE28" s="33">
        <f t="shared" si="9"/>
        <v>1</v>
      </c>
      <c r="AF28" s="33">
        <f t="shared" si="10"/>
        <v>-999</v>
      </c>
      <c r="AG28" s="33">
        <f t="shared" si="11"/>
        <v>-999</v>
      </c>
      <c r="AH28" s="33">
        <f t="shared" si="12"/>
        <v>0.781915960038257</v>
      </c>
      <c r="AI28" s="34">
        <f t="shared" si="13"/>
        <v>0.6389253665466489</v>
      </c>
      <c r="AJ28" s="4">
        <v>25.297955225459287</v>
      </c>
      <c r="AK28" s="32">
        <f t="shared" si="14"/>
        <v>-999</v>
      </c>
      <c r="AL28" s="34">
        <f t="shared" si="15"/>
        <v>0.781915960038257</v>
      </c>
      <c r="AY28" s="103" t="s">
        <v>241</v>
      </c>
      <c r="AZ28" s="103" t="s">
        <v>242</v>
      </c>
      <c r="BA28" s="103" t="s">
        <v>492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387</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408</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367</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432</v>
      </c>
      <c r="BA33" s="103" t="s">
        <v>492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539</v>
      </c>
      <c r="I35" s="291"/>
      <c r="Y35" s="43"/>
      <c r="Z35" s="44"/>
      <c r="AA35" s="44"/>
      <c r="AB35" s="43"/>
      <c r="AC35" s="43"/>
      <c r="AY35" s="103" t="s">
        <v>159</v>
      </c>
      <c r="AZ35" s="103" t="s">
        <v>400</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389</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406</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433</v>
      </c>
      <c r="BA41" s="103" t="s">
        <v>492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430</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418</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409</v>
      </c>
      <c r="BA46" s="103" t="s">
        <v>492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413</v>
      </c>
      <c r="BA48" s="103" t="s">
        <v>492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424</v>
      </c>
      <c r="BA49" s="103" t="s">
        <v>492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390</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423</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364</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410</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380</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425</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370</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414</v>
      </c>
      <c r="BA61" s="103" t="s">
        <v>492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403</v>
      </c>
      <c r="BA63" s="103" t="s">
        <v>312</v>
      </c>
      <c r="BB63" s="10">
        <v>318405</v>
      </c>
      <c r="BE63" s="70"/>
      <c r="BF63" s="239"/>
    </row>
    <row r="64" spans="1:58" ht="12.75">
      <c r="A64" s="3"/>
      <c r="B64" s="12"/>
      <c r="C64" s="3"/>
      <c r="I64" s="11"/>
      <c r="V64" s="3"/>
      <c r="AY64" s="103" t="s">
        <v>78</v>
      </c>
      <c r="AZ64" s="103" t="s">
        <v>371</v>
      </c>
      <c r="BA64" s="103" t="s">
        <v>492</v>
      </c>
      <c r="BB64" s="10">
        <v>181285</v>
      </c>
      <c r="BE64" s="70"/>
      <c r="BF64" s="241"/>
    </row>
    <row r="65" spans="1:58" ht="12.75">
      <c r="A65" s="3"/>
      <c r="B65" s="12"/>
      <c r="C65" s="3"/>
      <c r="AY65" s="103" t="s">
        <v>481</v>
      </c>
      <c r="AZ65" s="103" t="s">
        <v>482</v>
      </c>
      <c r="BA65" s="103" t="s">
        <v>312</v>
      </c>
      <c r="BB65" s="10">
        <v>1169302</v>
      </c>
      <c r="BE65" s="70"/>
      <c r="BF65" s="241"/>
    </row>
    <row r="66" spans="1:58" ht="12.75">
      <c r="A66" s="3"/>
      <c r="B66" s="12"/>
      <c r="C66" s="3"/>
      <c r="E66" s="2"/>
      <c r="F66" s="2"/>
      <c r="G66" s="2"/>
      <c r="V66" s="2"/>
      <c r="AY66" s="103" t="s">
        <v>200</v>
      </c>
      <c r="AZ66" s="103" t="s">
        <v>411</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434</v>
      </c>
      <c r="BA70" s="103" t="s">
        <v>491</v>
      </c>
      <c r="BB70" s="10">
        <v>141474</v>
      </c>
      <c r="BE70" s="70"/>
      <c r="BF70" s="239"/>
    </row>
    <row r="71" spans="1:58" ht="12.75">
      <c r="A71" s="3"/>
      <c r="B71" s="12"/>
      <c r="C71" s="3"/>
      <c r="AY71" s="103" t="s">
        <v>127</v>
      </c>
      <c r="AZ71" s="103" t="s">
        <v>388</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363</v>
      </c>
      <c r="BA73" s="103" t="s">
        <v>312</v>
      </c>
      <c r="BB73" s="10">
        <v>190143</v>
      </c>
      <c r="BE73" s="70"/>
      <c r="BF73" s="239"/>
    </row>
    <row r="74" spans="1:58" ht="12.75">
      <c r="A74" s="3"/>
      <c r="B74" s="12"/>
      <c r="C74" s="3"/>
      <c r="AY74" s="103" t="s">
        <v>165</v>
      </c>
      <c r="AZ74" s="103" t="s">
        <v>166</v>
      </c>
      <c r="BA74" s="103" t="s">
        <v>492</v>
      </c>
      <c r="BB74" s="10">
        <v>419928</v>
      </c>
      <c r="BE74" s="70"/>
      <c r="BF74" s="241"/>
    </row>
    <row r="75" spans="1:58" ht="12.75">
      <c r="A75" s="3"/>
      <c r="B75" s="12"/>
      <c r="C75" s="3"/>
      <c r="AY75" s="103" t="s">
        <v>113</v>
      </c>
      <c r="AZ75" s="103" t="s">
        <v>382</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492</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416</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405</v>
      </c>
      <c r="BA81" s="103" t="s">
        <v>492</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379</v>
      </c>
      <c r="BA83" s="103" t="s">
        <v>492</v>
      </c>
      <c r="BB83" s="10">
        <v>208442</v>
      </c>
      <c r="BE83" s="70"/>
      <c r="BF83" s="241"/>
    </row>
    <row r="84" spans="1:58" ht="12.75">
      <c r="A84" s="3"/>
      <c r="B84" s="12"/>
      <c r="C84" s="3"/>
      <c r="AY84" s="103" t="s">
        <v>203</v>
      </c>
      <c r="AZ84" s="103" t="s">
        <v>204</v>
      </c>
      <c r="BA84" s="103" t="s">
        <v>492</v>
      </c>
      <c r="BB84" s="10">
        <v>545543</v>
      </c>
      <c r="BE84" s="70"/>
      <c r="BF84" s="241"/>
    </row>
    <row r="85" spans="1:58" ht="12.75">
      <c r="A85" s="3"/>
      <c r="B85" s="12"/>
      <c r="C85" s="3"/>
      <c r="AY85" s="103" t="s">
        <v>135</v>
      </c>
      <c r="AZ85" s="103" t="s">
        <v>394</v>
      </c>
      <c r="BA85" s="103" t="s">
        <v>492</v>
      </c>
      <c r="BB85" s="10">
        <v>274067</v>
      </c>
      <c r="BE85" s="70"/>
      <c r="BF85" s="241"/>
    </row>
    <row r="86" spans="1:58" ht="12.75">
      <c r="A86" s="3"/>
      <c r="B86" s="12"/>
      <c r="C86" s="3"/>
      <c r="AY86" s="103" t="s">
        <v>251</v>
      </c>
      <c r="AZ86" s="103" t="s">
        <v>252</v>
      </c>
      <c r="BA86" s="103" t="s">
        <v>492</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492</v>
      </c>
      <c r="BB88" s="10">
        <v>258492</v>
      </c>
      <c r="BE88" s="70"/>
      <c r="BF88" s="241"/>
    </row>
    <row r="89" spans="1:58" ht="12.75">
      <c r="A89" s="3"/>
      <c r="B89" s="12"/>
      <c r="C89" s="3"/>
      <c r="AY89" s="103" t="s">
        <v>81</v>
      </c>
      <c r="AZ89" s="103" t="s">
        <v>372</v>
      </c>
      <c r="BA89" s="103" t="s">
        <v>312</v>
      </c>
      <c r="BB89" s="10">
        <v>283085</v>
      </c>
      <c r="BE89" s="70"/>
      <c r="BF89" s="241"/>
    </row>
    <row r="90" spans="1:58" ht="12.75">
      <c r="A90" s="3"/>
      <c r="B90" s="12"/>
      <c r="C90" s="3"/>
      <c r="AY90" s="103" t="s">
        <v>76</v>
      </c>
      <c r="AZ90" s="103" t="s">
        <v>369</v>
      </c>
      <c r="BA90" s="103" t="s">
        <v>312</v>
      </c>
      <c r="BB90" s="10">
        <v>357346</v>
      </c>
      <c r="BE90" s="70"/>
      <c r="BF90" s="241"/>
    </row>
    <row r="91" spans="1:58" ht="12.75">
      <c r="A91" s="3"/>
      <c r="B91" s="12"/>
      <c r="C91" s="3"/>
      <c r="AY91" s="103" t="s">
        <v>243</v>
      </c>
      <c r="AZ91" s="103" t="s">
        <v>422</v>
      </c>
      <c r="BA91" s="103" t="s">
        <v>492</v>
      </c>
      <c r="BB91" s="10">
        <v>748575</v>
      </c>
      <c r="BE91" s="247"/>
      <c r="BF91" s="249"/>
    </row>
    <row r="92" spans="1:58" ht="12.75">
      <c r="A92" s="3"/>
      <c r="B92" s="12"/>
      <c r="C92" s="3"/>
      <c r="AY92" s="103" t="s">
        <v>249</v>
      </c>
      <c r="AZ92" s="103" t="s">
        <v>250</v>
      </c>
      <c r="BA92" s="103" t="s">
        <v>492</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407</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373</v>
      </c>
      <c r="BA98" s="103" t="s">
        <v>312</v>
      </c>
      <c r="BB98" s="10">
        <v>214052</v>
      </c>
      <c r="BE98" s="248"/>
      <c r="BF98" s="241"/>
    </row>
    <row r="99" spans="1:58" ht="12.75">
      <c r="A99" s="3"/>
      <c r="B99" s="12"/>
      <c r="C99" s="3"/>
      <c r="AY99" s="103" t="s">
        <v>205</v>
      </c>
      <c r="AZ99" s="103" t="s">
        <v>206</v>
      </c>
      <c r="BA99" s="103" t="s">
        <v>492</v>
      </c>
      <c r="BB99" s="10">
        <v>795503</v>
      </c>
      <c r="BE99" s="70"/>
      <c r="BF99" s="249"/>
    </row>
    <row r="100" spans="1:58" ht="12.75">
      <c r="A100" s="3"/>
      <c r="B100" s="12"/>
      <c r="C100" s="3"/>
      <c r="AY100" s="103" t="s">
        <v>226</v>
      </c>
      <c r="AZ100" s="103" t="s">
        <v>417</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404</v>
      </c>
      <c r="BA103" s="103" t="s">
        <v>312</v>
      </c>
      <c r="BB103" s="10">
        <v>656875</v>
      </c>
      <c r="BE103" s="70"/>
      <c r="BF103" s="239"/>
    </row>
    <row r="104" spans="51:58" ht="12.75">
      <c r="AY104" s="103" t="s">
        <v>114</v>
      </c>
      <c r="AZ104" s="103" t="s">
        <v>383</v>
      </c>
      <c r="BA104" s="103" t="s">
        <v>312</v>
      </c>
      <c r="BB104" s="10">
        <v>236592</v>
      </c>
      <c r="BF104" s="252"/>
    </row>
    <row r="105" spans="51:58" ht="12.75">
      <c r="AY105" s="103" t="s">
        <v>259</v>
      </c>
      <c r="AZ105" s="103" t="s">
        <v>426</v>
      </c>
      <c r="BA105" s="103" t="s">
        <v>492</v>
      </c>
      <c r="BB105" s="10">
        <v>671572</v>
      </c>
      <c r="BE105" s="237"/>
      <c r="BF105" s="238"/>
    </row>
    <row r="106" spans="51:58" ht="12.75">
      <c r="AY106" s="103" t="s">
        <v>239</v>
      </c>
      <c r="AZ106" s="103" t="s">
        <v>240</v>
      </c>
      <c r="BA106" s="103" t="s">
        <v>492</v>
      </c>
      <c r="BB106" s="10">
        <v>177882</v>
      </c>
      <c r="BF106" s="252"/>
    </row>
    <row r="107" spans="51:58" ht="12.75">
      <c r="AY107" s="103" t="s">
        <v>91</v>
      </c>
      <c r="AZ107" s="103" t="s">
        <v>376</v>
      </c>
      <c r="BA107" s="103" t="s">
        <v>312</v>
      </c>
      <c r="BB107" s="10">
        <v>274443</v>
      </c>
      <c r="BF107" s="252"/>
    </row>
    <row r="108" spans="51:58" ht="12.75">
      <c r="AY108" s="103" t="s">
        <v>95</v>
      </c>
      <c r="AZ108" s="103" t="s">
        <v>378</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398</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419</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397</v>
      </c>
      <c r="BA117" s="103" t="s">
        <v>492</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429</v>
      </c>
      <c r="BA119" s="103" t="s">
        <v>312</v>
      </c>
      <c r="BB119" s="10">
        <v>538131</v>
      </c>
      <c r="BE119" s="70"/>
      <c r="BF119" s="239"/>
    </row>
    <row r="120" spans="51:58" ht="12.75">
      <c r="AY120" s="103" t="s">
        <v>150</v>
      </c>
      <c r="AZ120" s="103" t="s">
        <v>151</v>
      </c>
      <c r="BA120" s="103" t="s">
        <v>492</v>
      </c>
      <c r="BB120" s="10">
        <v>389725</v>
      </c>
      <c r="BE120" s="70"/>
      <c r="BF120" s="239"/>
    </row>
    <row r="121" spans="51:58" ht="12.75">
      <c r="AY121" s="103" t="s">
        <v>212</v>
      </c>
      <c r="AZ121" s="103" t="s">
        <v>213</v>
      </c>
      <c r="BA121" s="103" t="s">
        <v>492</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421</v>
      </c>
      <c r="BA123" s="103" t="s">
        <v>492</v>
      </c>
      <c r="BB123" s="10">
        <v>615835</v>
      </c>
      <c r="BF123" s="252"/>
    </row>
    <row r="124" spans="51:58" ht="12.75">
      <c r="AY124" s="103" t="s">
        <v>130</v>
      </c>
      <c r="AZ124" s="103" t="s">
        <v>391</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393</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377</v>
      </c>
      <c r="BA128" s="103" t="s">
        <v>492</v>
      </c>
      <c r="BB128" s="10">
        <v>298190</v>
      </c>
      <c r="BE128" s="250"/>
      <c r="BF128" s="249"/>
    </row>
    <row r="129" spans="51:58" ht="12.75">
      <c r="AY129" s="103" t="s">
        <v>85</v>
      </c>
      <c r="AZ129" s="103" t="s">
        <v>374</v>
      </c>
      <c r="BA129" s="103" t="s">
        <v>312</v>
      </c>
      <c r="BB129" s="10">
        <v>191885</v>
      </c>
      <c r="BE129" s="70"/>
      <c r="BF129" s="249"/>
    </row>
    <row r="130" spans="51:58" ht="12.75">
      <c r="AY130" s="103" t="s">
        <v>233</v>
      </c>
      <c r="AZ130" s="103" t="s">
        <v>420</v>
      </c>
      <c r="BA130" s="103" t="s">
        <v>312</v>
      </c>
      <c r="BB130" s="10">
        <v>268223</v>
      </c>
      <c r="BE130" s="70"/>
      <c r="BF130" s="249"/>
    </row>
    <row r="131" spans="51:58" ht="12.75">
      <c r="AY131" s="103" t="s">
        <v>245</v>
      </c>
      <c r="AZ131" s="103" t="s">
        <v>246</v>
      </c>
      <c r="BA131" s="103" t="s">
        <v>492</v>
      </c>
      <c r="BB131" s="10">
        <v>616983</v>
      </c>
      <c r="BE131" s="247"/>
      <c r="BF131" s="249"/>
    </row>
    <row r="132" spans="51:58" ht="12.75">
      <c r="AY132" s="103" t="s">
        <v>131</v>
      </c>
      <c r="AZ132" s="103" t="s">
        <v>392</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399</v>
      </c>
      <c r="BA134" s="103" t="s">
        <v>312</v>
      </c>
      <c r="BB134" s="10">
        <v>390971</v>
      </c>
      <c r="BE134" s="243"/>
      <c r="BF134" s="238"/>
    </row>
    <row r="135" spans="51:58" ht="12.75">
      <c r="AY135" s="103" t="s">
        <v>121</v>
      </c>
      <c r="AZ135" s="103" t="s">
        <v>122</v>
      </c>
      <c r="BA135" s="103" t="s">
        <v>491</v>
      </c>
      <c r="BB135" s="10">
        <v>218182</v>
      </c>
      <c r="BE135" s="250"/>
      <c r="BF135" s="249"/>
    </row>
    <row r="136" spans="51:58" ht="12.75">
      <c r="AY136" s="103" t="s">
        <v>148</v>
      </c>
      <c r="AZ136" s="103" t="s">
        <v>395</v>
      </c>
      <c r="BA136" s="103" t="s">
        <v>492</v>
      </c>
      <c r="BB136" s="10">
        <v>236598</v>
      </c>
      <c r="BE136" s="237"/>
      <c r="BF136" s="238"/>
    </row>
    <row r="137" spans="51:58" ht="12.75">
      <c r="AY137" s="103" t="s">
        <v>160</v>
      </c>
      <c r="AZ137" s="103" t="s">
        <v>401</v>
      </c>
      <c r="BA137" s="103" t="s">
        <v>492</v>
      </c>
      <c r="BB137" s="10">
        <v>165993</v>
      </c>
      <c r="BF137" s="252"/>
    </row>
    <row r="138" spans="51:58" ht="12.75">
      <c r="AY138" s="103" t="s">
        <v>54</v>
      </c>
      <c r="AZ138" s="103" t="s">
        <v>55</v>
      </c>
      <c r="BA138" s="103" t="s">
        <v>312</v>
      </c>
      <c r="BB138" s="10">
        <v>145889</v>
      </c>
      <c r="BE138" s="70"/>
      <c r="BF138" s="239"/>
    </row>
    <row r="139" spans="51:58" ht="12.75">
      <c r="AY139" s="103" t="s">
        <v>75</v>
      </c>
      <c r="AZ139" s="103" t="s">
        <v>368</v>
      </c>
      <c r="BA139" s="103" t="s">
        <v>312</v>
      </c>
      <c r="BB139" s="10">
        <v>267393</v>
      </c>
      <c r="BE139" s="237"/>
      <c r="BF139" s="238"/>
    </row>
    <row r="140" spans="51:58" ht="12.75">
      <c r="AY140" s="103" t="s">
        <v>201</v>
      </c>
      <c r="AZ140" s="103" t="s">
        <v>202</v>
      </c>
      <c r="BA140" s="103" t="s">
        <v>492</v>
      </c>
      <c r="BB140" s="10">
        <v>232551</v>
      </c>
      <c r="BE140" s="70"/>
      <c r="BF140" s="239"/>
    </row>
    <row r="141" spans="51:58" ht="12.75">
      <c r="AY141" s="103" t="s">
        <v>167</v>
      </c>
      <c r="AZ141" s="103" t="s">
        <v>168</v>
      </c>
      <c r="BA141" s="103" t="s">
        <v>492</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415</v>
      </c>
      <c r="BA148" s="103" t="s">
        <v>492</v>
      </c>
      <c r="BB148" s="10">
        <v>707573</v>
      </c>
      <c r="BF148" s="252"/>
    </row>
    <row r="149" spans="51:58" ht="12.75">
      <c r="AY149" s="103" t="s">
        <v>218</v>
      </c>
      <c r="AZ149" s="103" t="s">
        <v>219</v>
      </c>
      <c r="BA149" s="103" t="s">
        <v>492</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492</v>
      </c>
      <c r="BB152" s="10">
        <v>462395</v>
      </c>
      <c r="BE152" s="250"/>
      <c r="BF152" s="239"/>
    </row>
    <row r="153" spans="51:58" ht="12.75">
      <c r="AY153" s="103" t="s">
        <v>191</v>
      </c>
      <c r="AZ153" s="103" t="s">
        <v>192</v>
      </c>
      <c r="BA153" s="103" t="s">
        <v>312</v>
      </c>
      <c r="BB153" s="10">
        <v>332176</v>
      </c>
      <c r="BF153" s="252"/>
    </row>
    <row r="154" spans="51:58" ht="12.75">
      <c r="AY154" s="103" t="s">
        <v>161</v>
      </c>
      <c r="AZ154" s="103" t="s">
        <v>402</v>
      </c>
      <c r="BA154" s="103" t="s">
        <v>312</v>
      </c>
      <c r="BB154" s="10">
        <v>246213</v>
      </c>
      <c r="BE154" s="237"/>
      <c r="BF154" s="238"/>
    </row>
    <row r="155" spans="51:58" ht="12.75">
      <c r="AY155" s="103" t="s">
        <v>235</v>
      </c>
      <c r="AZ155" s="103" t="s">
        <v>236</v>
      </c>
      <c r="BA155" s="103" t="s">
        <v>492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524</v>
      </c>
      <c r="B3" s="56" t="s">
        <v>379</v>
      </c>
      <c r="C3" s="56" t="s">
        <v>24</v>
      </c>
    </row>
    <row r="4" spans="1:2" ht="12.75">
      <c r="A4" s="76">
        <v>1</v>
      </c>
      <c r="B4" s="78" t="s">
        <v>98</v>
      </c>
    </row>
    <row r="5" ht="12.75">
      <c r="A5" s="280" t="s">
        <v>524</v>
      </c>
    </row>
    <row r="6" ht="12.75">
      <c r="A6" s="280" t="s">
        <v>512</v>
      </c>
    </row>
    <row r="7" ht="12.75">
      <c r="A7" s="280" t="s">
        <v>523</v>
      </c>
    </row>
    <row r="8" ht="12.75">
      <c r="A8" s="280" t="s">
        <v>519</v>
      </c>
    </row>
    <row r="9" ht="12.75">
      <c r="A9" s="280" t="s">
        <v>525</v>
      </c>
    </row>
    <row r="10" ht="12.75">
      <c r="A10" s="280" t="s">
        <v>503</v>
      </c>
    </row>
    <row r="11" ht="12.75">
      <c r="A11" s="280" t="s">
        <v>499</v>
      </c>
    </row>
    <row r="12" ht="12.75">
      <c r="A12" s="280" t="s">
        <v>505</v>
      </c>
    </row>
    <row r="13" ht="12.75">
      <c r="A13" s="280" t="s">
        <v>514</v>
      </c>
    </row>
    <row r="14" ht="12.75">
      <c r="A14" s="280" t="s">
        <v>522</v>
      </c>
    </row>
    <row r="15" ht="12.75">
      <c r="A15" s="280" t="s">
        <v>510</v>
      </c>
    </row>
    <row r="16" ht="12.75">
      <c r="A16" s="280" t="s">
        <v>504</v>
      </c>
    </row>
    <row r="17" ht="12.75">
      <c r="A17" s="280" t="s">
        <v>521</v>
      </c>
    </row>
    <row r="18" ht="12.75">
      <c r="A18" s="280" t="s">
        <v>520</v>
      </c>
    </row>
    <row r="19" ht="12.75">
      <c r="A19" s="280" t="s">
        <v>508</v>
      </c>
    </row>
    <row r="20" ht="12.75">
      <c r="A20" s="280" t="s">
        <v>516</v>
      </c>
    </row>
    <row r="21" ht="12.75">
      <c r="A21" s="280" t="s">
        <v>501</v>
      </c>
    </row>
    <row r="22" ht="12.75">
      <c r="A22" s="280" t="s">
        <v>500</v>
      </c>
    </row>
    <row r="23" ht="12.75">
      <c r="A23" s="280" t="s">
        <v>502</v>
      </c>
    </row>
    <row r="24" ht="12.75">
      <c r="A24" s="280" t="s">
        <v>540</v>
      </c>
    </row>
    <row r="25" ht="12.75">
      <c r="A25" s="280" t="s">
        <v>511</v>
      </c>
    </row>
    <row r="26" ht="12.75">
      <c r="A26" s="280" t="s">
        <v>527</v>
      </c>
    </row>
    <row r="27" ht="12.75">
      <c r="A27" s="280" t="s">
        <v>518</v>
      </c>
    </row>
    <row r="28" ht="12.75">
      <c r="A28" s="280" t="s">
        <v>526</v>
      </c>
    </row>
    <row r="29" ht="12.75">
      <c r="A29" s="280" t="s">
        <v>507</v>
      </c>
    </row>
    <row r="30" ht="12.75">
      <c r="A30" s="280" t="s">
        <v>509</v>
      </c>
    </row>
    <row r="31" ht="12.75">
      <c r="A31" s="280" t="s">
        <v>528</v>
      </c>
    </row>
    <row r="32" ht="12.75">
      <c r="A32" s="280" t="s">
        <v>513</v>
      </c>
    </row>
    <row r="33" ht="12.75">
      <c r="A33" s="280" t="s">
        <v>517</v>
      </c>
    </row>
    <row r="34" ht="12.75">
      <c r="A34" s="280" t="s">
        <v>506</v>
      </c>
    </row>
    <row r="35" ht="12.75">
      <c r="A35" s="280" t="s">
        <v>515</v>
      </c>
    </row>
    <row r="36" ht="12.75">
      <c r="A36" s="280" t="s">
        <v>529</v>
      </c>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