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<sst xmlns="http://schemas.openxmlformats.org/spreadsheetml/2006/main" count="890" uniqueCount="500">
  <si>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</si>
  <si>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</si>
  <si>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</si>
  <si>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</si>
  <si>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</si>
  <si>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</si>
  <si>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</si>
  <si>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</si>
  <si>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</si>
  <si>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</si>
  <si>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</si>
  <si>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</si>
  <si>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</si>
  <si>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</si>
  <si>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</si>
  <si>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</si>
  <si>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</si>
  <si>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</si>
  <si>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</si>
  <si>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</si>
  <si>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</si>
  <si>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</si>
  <si>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</si>
  <si>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</si>
  <si>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</si>
  <si>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</si>
  <si>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</si>
  <si>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</si>
  <si>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</si>
  <si>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</si>
  <si>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</si>
  <si>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</si>
  <si>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</si>
  <si>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</si>
  <si>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</si>
  <si>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</si>
  <si>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</si>
  <si>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</si>
  <si>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</si>
  <si>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</si>
  <si>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</si>
  <si>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</si>
  <si>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</si>
  <si>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</si>
  <si>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</si>
  <si>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</si>
  <si>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</si>
  <si>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</si>
  <si>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</si>
  <si>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</si>
  <si>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</si>
  <si>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</si>
  <si>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</si>
  <si>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</si>
  <si>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</si>
  <si>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</si>
  <si>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</si>
  <si>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</si>
  <si>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</si>
  <si>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</si>
  <si>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</si>
  <si>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</si>
  <si>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</si>
  <si>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</si>
  <si>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</si>
  <si>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</si>
  <si>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</si>
  <si>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</si>
  <si>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</si>
  <si>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</si>
  <si>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</si>
  <si>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</si>
  <si>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</si>
  <si>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</si>
  <si>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</si>
  <si>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</si>
  <si>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</si>
  <si>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</si>
  <si>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</si>
  <si>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</si>
  <si>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</si>
  <si>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</si>
  <si>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</si>
  <si>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</si>
  <si>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</si>
  <si>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</si>
  <si>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</si>
  <si>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</si>
  <si>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</si>
  <si>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</si>
  <si>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</si>
  <si>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</si>
  <si>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</si>
  <si>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</si>
  <si>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</si>
  <si>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</si>
  <si>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</si>
  <si>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</si>
  <si>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</si>
  <si>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</si>
  <si>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</si>
  <si>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</si>
  <si>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</si>
  <si>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</si>
  <si>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</si>
  <si>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</si>
  <si>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</si>
  <si>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</si>
  <si>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</si>
  <si>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</si>
  <si>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</si>
  <si>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</si>
  <si>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</si>
  <si>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</si>
  <si>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</si>
  <si>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</si>
  <si>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</si>
  <si>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</si>
  <si>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</si>
  <si>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</si>
  <si>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</si>
  <si>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</si>
  <si>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</si>
  <si>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</si>
  <si>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</si>
  <si>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</si>
  <si>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</si>
  <si>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</si>
  <si>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</si>
  <si>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</si>
  <si>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</si>
  <si>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</si>
  <si>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</si>
  <si>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</si>
  <si>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</si>
  <si>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</si>
  <si>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</si>
  <si>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</si>
  <si>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</si>
  <si>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</si>
  <si>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</si>
  <si>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</si>
  <si>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</si>
  <si>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</si>
  <si>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</si>
  <si>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</si>
  <si>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</si>
  <si>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</si>
  <si>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</si>
  <si>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</si>
  <si>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</si>
  <si>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</si>
  <si>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</si>
  <si>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</si>
  <si>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</si>
  <si>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</si>
  <si>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</si>
  <si>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</si>
  <si>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</si>
  <si>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</si>
  <si>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</si>
  <si>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</si>
  <si>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</si>
  <si>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</si>
  <si>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</si>
  <si>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</si>
  <si>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</si>
  <si>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</si>
  <si>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</si>
  <si>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</si>
  <si>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</si>
  <si>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</si>
  <si>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</si>
  <si>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</si>
  <si>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</si>
  <si>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</si>
  <si>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</si>
  <si>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</si>
  <si>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</si>
  <si>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</si>
  <si>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</si>
  <si>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</si>
  <si>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</si>
  <si>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</si>
  <si>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</si>
  <si>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</si>
  <si>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</si>
  <si>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</si>
  <si>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</si>
  <si>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</si>
  <si>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</si>
  <si>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</si>
  <si>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</si>
  <si>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</si>
  <si>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</si>
  <si>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</si>
  <si>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</si>
  <si>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</si>
  <si>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</si>
  <si>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</si>
  <si>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</si>
  <si>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</si>
  <si>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</si>
  <si>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</si>
  <si>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</si>
  <si>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</si>
  <si>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</si>
  <si>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</si>
  <si>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</si>
  <si>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</si>
  <si>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</si>
  <si>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</si>
  <si>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</si>
  <si>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</si>
  <si>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</si>
  <si>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</si>
  <si>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</si>
  <si>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</si>
  <si>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</si>
  <si>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</si>
  <si>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</si>
  <si>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</si>
  <si>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</si>
  <si>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</si>
  <si>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</si>
  <si>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</si>
  <si>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</si>
  <si>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</si>
  <si>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</si>
  <si>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</si>
  <si>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</si>
  <si>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</si>
  <si>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</si>
  <si>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</si>
  <si>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</si>
  <si>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</si>
  <si>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</si>
  <si>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</si>
  <si>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</si>
  <si>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</si>
  <si>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</si>
  <si>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</si>
  <si>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</si>
  <si>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</si>
  <si>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</si>
  <si>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</si>
  <si>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</si>
  <si>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</si>
  <si>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</si>
  <si>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</si>
  <si>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</si>
  <si>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</si>
  <si>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</si>
  <si>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</si>
  <si>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</si>
  <si>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</si>
  <si>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</si>
  <si>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</si>
  <si>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</si>
  <si>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</si>
  <si>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</si>
  <si>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</si>
  <si>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</si>
  <si>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</si>
  <si>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</si>
  <si>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</si>
  <si>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</si>
  <si>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</si>
  <si>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</si>
  <si>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</si>
  <si>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</si>
  <si>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</si>
  <si>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</si>
  <si>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</si>
  <si>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</si>
  <si>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</si>
  <si>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</si>
  <si>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</si>
  <si>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</si>
  <si>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</si>
  <si>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</si>
  <si>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</si>
  <si>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C84001</t>
  </si>
  <si>
    <t>C84008</t>
  </si>
  <si>
    <t>C84013</t>
  </si>
  <si>
    <t>C84024</t>
  </si>
  <si>
    <t>C84035</t>
  </si>
  <si>
    <t>C84052</t>
  </si>
  <si>
    <t>C84094</t>
  </si>
  <si>
    <t>C84101</t>
  </si>
  <si>
    <t>C84143</t>
  </si>
  <si>
    <t>C84692</t>
  </si>
  <si>
    <t>C84700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</si>
  <si>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</si>
  <si>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</si>
  <si>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</si>
  <si>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</si>
  <si>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</si>
  <si>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</si>
  <si>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</si>
  <si>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</si>
  <si>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</si>
  <si>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</si>
  <si>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</si>
  <si>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</si>
  <si>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</si>
  <si>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</si>
  <si>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</si>
  <si>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</si>
  <si>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</si>
  <si>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</si>
  <si>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</si>
  <si>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</si>
  <si>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</si>
  <si>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</si>
  <si>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</si>
  <si>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</si>
  <si>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</si>
  <si>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</si>
  <si>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</si>
  <si>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</si>
  <si>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</si>
  <si>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</si>
  <si>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</si>
  <si>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</si>
  <si>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</si>
  <si>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</si>
  <si>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</si>
  <si>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</si>
  <si>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</si>
  <si>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</si>
  <si>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</si>
  <si>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</si>
  <si>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</si>
  <si>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</si>
  <si>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</si>
  <si>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</si>
  <si>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</si>
  <si>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</si>
  <si>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</si>
  <si>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</si>
  <si>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</si>
  <si>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</si>
  <si>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</si>
  <si>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</si>
  <si>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</si>
  <si>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</si>
  <si>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</si>
  <si>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</si>
  <si>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</si>
  <si>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</si>
  <si>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</si>
  <si>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</si>
  <si>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</si>
  <si>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</si>
  <si>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</si>
  <si>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</si>
  <si>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</si>
  <si>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</si>
  <si>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</si>
  <si>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</si>
  <si>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</si>
  <si>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</si>
  <si>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</si>
  <si>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</si>
  <si>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</si>
  <si>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</si>
  <si>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</si>
  <si>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</si>
  <si>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</si>
  <si>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</si>
  <si>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</si>
  <si>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</si>
  <si>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</si>
  <si>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</si>
  <si>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</si>
  <si>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</si>
  <si>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</si>
  <si>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</si>
  <si>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</si>
  <si>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</si>
  <si>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</si>
  <si>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</si>
  <si>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</si>
  <si>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</si>
  <si>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</si>
  <si>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</si>
  <si>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</si>
  <si>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</si>
  <si>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</si>
  <si>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</si>
  <si>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</si>
  <si>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</si>
  <si>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</si>
  <si>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</si>
  <si>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</si>
  <si>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</si>
  <si>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</si>
  <si>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</si>
  <si>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</si>
  <si>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</si>
  <si>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</si>
  <si>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</si>
  <si>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</si>
  <si>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</si>
  <si>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</si>
  <si>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</si>
  <si>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</si>
  <si>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</si>
  <si>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</si>
  <si>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</si>
  <si>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</si>
  <si>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</si>
  <si>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</si>
  <si>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</si>
  <si>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</si>
  <si>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</si>
  <si>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</si>
  <si>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</si>
  <si>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</si>
  <si>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</si>
  <si>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</si>
  <si>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</si>
  <si>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</si>
  <si>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</si>
  <si>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</si>
  <si>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</si>
  <si>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</si>
  <si>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</si>
  <si>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</si>
  <si>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</si>
  <si>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</si>
  <si>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</si>
  <si>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</si>
  <si>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</si>
  <si>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</si>
  <si>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</si>
  <si>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</si>
  <si>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</si>
  <si>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</si>
  <si>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</si>
  <si>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</si>
  <si>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</si>
  <si>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</si>
  <si>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</si>
  <si>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</si>
  <si>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</si>
  <si>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</si>
  <si>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</si>
  <si>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</si>
  <si>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</si>
  <si>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</si>
  <si>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</si>
  <si>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</si>
  <si>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</si>
  <si>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</si>
  <si>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</si>
  <si>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</si>
  <si>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</si>
  <si>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</si>
  <si>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</si>
  <si>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</si>
  <si>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</si>
  <si>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</si>
  <si>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</si>
  <si>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</si>
  <si>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</si>
  <si>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</si>
  <si>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</si>
  <si>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</si>
  <si>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</si>
  <si>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</si>
  <si>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</si>
  <si>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</si>
  <si>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</si>
  <si>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</si>
  <si>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</si>
  <si>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(C84001) LARWOOD SURGERY</t>
  </si>
  <si>
    <t>(C84008) TUXFORD MEDICAL CENTRE</t>
  </si>
  <si>
    <t>(C84013) BRIDGEGATE SURGERY</t>
  </si>
  <si>
    <t>(C84024) NEWGATE MEDICAL GROUP</t>
  </si>
  <si>
    <t>(C84035) CROWN HOUSE SURGERY</t>
  </si>
  <si>
    <t>(C84052) THE MISTERTON GROUP PRACTICE</t>
  </si>
  <si>
    <t>(C84094) RIVERSIDE HEALTH CENTRE</t>
  </si>
  <si>
    <t>(C84101) BAWTRY AND BLYTH MEDICAL</t>
  </si>
  <si>
    <t>(C84143) TALL TREES SURGERY</t>
  </si>
  <si>
    <t>(C84692) NORTH LEVERTON SURGERY</t>
  </si>
  <si>
    <t>(C84700) HARWORTH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</si>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</sst>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0.8782569023478324</c:v>
                </c:pt>
                <c:pt idx="5">
                  <c:v>0.7307571885310546</c:v>
                </c:pt>
                <c:pt idx="6">
                  <c:v>0.8999999441206494</c:v>
                </c:pt>
                <c:pt idx="7">
                  <c:v>0.8103479334186846</c:v>
                </c:pt>
                <c:pt idx="8">
                  <c:v>0.7027036662045746</c:v>
                </c:pt>
                <c:pt idx="9">
                  <c:v>0.8592051858026388</c:v>
                </c:pt>
                <c:pt idx="10">
                  <c:v>0.6334662927314597</c:v>
                </c:pt>
                <c:pt idx="11">
                  <c:v>0.7821404228960654</c:v>
                </c:pt>
                <c:pt idx="12">
                  <c:v>0.7751022559038289</c:v>
                </c:pt>
                <c:pt idx="13">
                  <c:v>0</c:v>
                </c:pt>
                <c:pt idx="14">
                  <c:v>1</c:v>
                </c:pt>
                <c:pt idx="15">
                  <c:v>0.9522065393719424</c:v>
                </c:pt>
                <c:pt idx="16">
                  <c:v>0.7419890842412983</c:v>
                </c:pt>
                <c:pt idx="17">
                  <c:v>1</c:v>
                </c:pt>
                <c:pt idx="18">
                  <c:v>1</c:v>
                </c:pt>
                <c:pt idx="19">
                  <c:v>0.8369300405005482</c:v>
                </c:pt>
                <c:pt idx="20">
                  <c:v>0.8241379888533563</c:v>
                </c:pt>
                <c:pt idx="21">
                  <c:v>1</c:v>
                </c:pt>
                <c:pt idx="22">
                  <c:v>0.7652961302438586</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0.7012621127473665</c:v>
                </c:pt>
                <c:pt idx="3">
                  <c:v>0.6666666666666666</c:v>
                </c:pt>
                <c:pt idx="4">
                  <c:v>0.7033277966316825</c:v>
                </c:pt>
                <c:pt idx="5">
                  <c:v>0.5828239279228475</c:v>
                </c:pt>
                <c:pt idx="6">
                  <c:v>0.6249999650754059</c:v>
                </c:pt>
                <c:pt idx="7">
                  <c:v>0.6329815735079082</c:v>
                </c:pt>
                <c:pt idx="8">
                  <c:v>0.5490821689901594</c:v>
                </c:pt>
                <c:pt idx="9">
                  <c:v>0.7321058540910044</c:v>
                </c:pt>
                <c:pt idx="10">
                  <c:v>0.5615256863862991</c:v>
                </c:pt>
                <c:pt idx="11">
                  <c:v>0.6118419445936886</c:v>
                </c:pt>
                <c:pt idx="12">
                  <c:v>0.6470794220331072</c:v>
                </c:pt>
                <c:pt idx="13">
                  <c:v>0</c:v>
                </c:pt>
                <c:pt idx="14">
                  <c:v>0.6045118753294522</c:v>
                </c:pt>
                <c:pt idx="15">
                  <c:v>0.6086381756039823</c:v>
                </c:pt>
                <c:pt idx="16">
                  <c:v>0.6047698017970509</c:v>
                </c:pt>
                <c:pt idx="17">
                  <c:v>0.7035455684160641</c:v>
                </c:pt>
                <c:pt idx="18">
                  <c:v>0.5748765077926425</c:v>
                </c:pt>
                <c:pt idx="19">
                  <c:v>0.6440669992889098</c:v>
                </c:pt>
                <c:pt idx="20">
                  <c:v>0.6413057390403603</c:v>
                </c:pt>
                <c:pt idx="21">
                  <c:v>0.7350078054262887</c:v>
                </c:pt>
                <c:pt idx="22">
                  <c:v>0.7150276664515682</c:v>
                </c:pt>
                <c:pt idx="23">
                  <c:v>0.6892632220967163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0.12739607649710372</c:v>
                </c:pt>
                <c:pt idx="3">
                  <c:v>0.29166671323278776</c:v>
                </c:pt>
                <c:pt idx="4">
                  <c:v>0.2612167289964127</c:v>
                </c:pt>
                <c:pt idx="5">
                  <c:v>0.3569600209521719</c:v>
                </c:pt>
                <c:pt idx="6">
                  <c:v>0.4249999464489557</c:v>
                </c:pt>
                <c:pt idx="7">
                  <c:v>0.28733067231099957</c:v>
                </c:pt>
                <c:pt idx="8">
                  <c:v>0.16791930804365576</c:v>
                </c:pt>
                <c:pt idx="9">
                  <c:v>0.33681143093356714</c:v>
                </c:pt>
                <c:pt idx="10">
                  <c:v>0.3305857619558656</c:v>
                </c:pt>
                <c:pt idx="11">
                  <c:v>0.3131774263017908</c:v>
                </c:pt>
                <c:pt idx="12">
                  <c:v>0.2881198494848203</c:v>
                </c:pt>
                <c:pt idx="13">
                  <c:v>0</c:v>
                </c:pt>
                <c:pt idx="14">
                  <c:v>0.4513546912075829</c:v>
                </c:pt>
                <c:pt idx="15">
                  <c:v>0.36062804771339607</c:v>
                </c:pt>
                <c:pt idx="16">
                  <c:v>0.45960640846785206</c:v>
                </c:pt>
                <c:pt idx="17">
                  <c:v>0.2967322058211793</c:v>
                </c:pt>
                <c:pt idx="18">
                  <c:v>0.421848647278559</c:v>
                </c:pt>
                <c:pt idx="19">
                  <c:v>0.39117510879914685</c:v>
                </c:pt>
                <c:pt idx="20">
                  <c:v>0.35523308185228414</c:v>
                </c:pt>
                <c:pt idx="21">
                  <c:v>0.11151515058277066</c:v>
                </c:pt>
                <c:pt idx="22">
                  <c:v>0.3442823601530337</c:v>
                </c:pt>
                <c:pt idx="23">
                  <c:v>0.30168309501692325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0.00816594825112097</c:v>
                </c:pt>
                <c:pt idx="3">
                  <c:v>0.2500000931322422</c:v>
                </c:pt>
                <c:pt idx="4">
                  <c:v>0</c:v>
                </c:pt>
                <c:pt idx="5">
                  <c:v>0</c:v>
                </c:pt>
                <c:pt idx="6">
                  <c:v>0</c:v>
                </c:pt>
                <c:pt idx="7">
                  <c:v>0</c:v>
                </c:pt>
                <c:pt idx="8">
                  <c:v>0</c:v>
                </c:pt>
                <c:pt idx="9">
                  <c:v>0</c:v>
                </c:pt>
                <c:pt idx="10">
                  <c:v>0</c:v>
                </c:pt>
                <c:pt idx="11">
                  <c:v>0</c:v>
                </c:pt>
                <c:pt idx="12">
                  <c:v>0</c:v>
                </c:pt>
                <c:pt idx="13">
                  <c:v>0</c:v>
                </c:pt>
                <c:pt idx="14">
                  <c:v>0.27232929341808837</c:v>
                </c:pt>
                <c:pt idx="15">
                  <c:v>0</c:v>
                </c:pt>
                <c:pt idx="16">
                  <c:v>0</c:v>
                </c:pt>
                <c:pt idx="17">
                  <c:v>0.03184344949311778</c:v>
                </c:pt>
                <c:pt idx="18">
                  <c:v>0.2743211243813172</c:v>
                </c:pt>
                <c:pt idx="19">
                  <c:v>0</c:v>
                </c:pt>
                <c:pt idx="20">
                  <c:v>0</c:v>
                </c:pt>
                <c:pt idx="21">
                  <c:v>0.3920901563798486</c:v>
                </c:pt>
                <c:pt idx="22">
                  <c:v>0</c:v>
                </c:pt>
                <c:pt idx="23">
                  <c:v>0.2271203205283823</c:v>
                </c:pt>
                <c:pt idx="24">
                  <c:v>0</c:v>
                </c:pt>
                <c:pt idx="25">
                  <c:v>0</c:v>
                </c:pt>
                <c:pt idx="26">
                  <c:v>0</c:v>
                </c:pt>
              </c:numCache>
            </c:numRef>
          </c:val>
        </c:ser>
        <c:overlap val="100"/>
        <c:gapWidth val="100"/>
        <c:axId val="28926478"/>
        <c:axId val="590117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-0.02881340431832365</c:v>
                </c:pt>
                <c:pt idx="3">
                  <c:v>0.7509108389371131</c:v>
                </c:pt>
                <c:pt idx="4">
                  <c:v>0.21701791895023742</c:v>
                </c:pt>
                <c:pt idx="5">
                  <c:v>0.29725484542130726</c:v>
                </c:pt>
                <c:pt idx="6">
                  <c:v>0.49703627933818423</c:v>
                </c:pt>
                <c:pt idx="7">
                  <c:v>0.22453198693521528</c:v>
                </c:pt>
                <c:pt idx="8">
                  <c:v>0.49800539676001343</c:v>
                </c:pt>
                <c:pt idx="9">
                  <c:v>0.16705098109737707</c:v>
                </c:pt>
                <c:pt idx="10">
                  <c:v>0.07483524547384904</c:v>
                </c:pt>
                <c:pt idx="11">
                  <c:v>0.3066393166276058</c:v>
                </c:pt>
                <c:pt idx="12">
                  <c:v>0.670403180470462</c:v>
                </c:pt>
                <c:pt idx="13">
                  <c:v>0.5</c:v>
                </c:pt>
                <c:pt idx="14">
                  <c:v>0.4782950269961796</c:v>
                </c:pt>
                <c:pt idx="15">
                  <c:v>0.5986827331501617</c:v>
                </c:pt>
                <c:pt idx="16">
                  <c:v>0.44613981852935053</c:v>
                </c:pt>
                <c:pt idx="17">
                  <c:v>0.5337593688649517</c:v>
                </c:pt>
                <c:pt idx="18">
                  <c:v>0.758104452244925</c:v>
                </c:pt>
                <c:pt idx="19">
                  <c:v>0.756478297375123</c:v>
                </c:pt>
                <c:pt idx="20">
                  <c:v>-0.03791352990400916</c:v>
                </c:pt>
                <c:pt idx="21">
                  <c:v>3.1044149411478204</c:v>
                </c:pt>
                <c:pt idx="22">
                  <c:v>0.35067335709251235</c:v>
                </c:pt>
                <c:pt idx="23">
                  <c:v>0.2779270965108538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0.749204916204818</c:v>
                </c:pt>
                <c:pt idx="5">
                  <c:v>0.7307572102564469</c:v>
                </c:pt>
                <c:pt idx="6">
                  <c:v>0.49999996200204166</c:v>
                </c:pt>
                <c:pt idx="7">
                  <c:v>0.7244768729758568</c:v>
                </c:pt>
                <c:pt idx="8">
                  <c:v>0.5688556540034467</c:v>
                </c:pt>
                <c:pt idx="9">
                  <c:v>0.43134590752984686</c:v>
                </c:pt>
                <c:pt idx="10">
                  <c:v>0.5141544097301409</c:v>
                </c:pt>
                <c:pt idx="11">
                  <c:v>0.7821403911211363</c:v>
                </c:pt>
                <c:pt idx="12">
                  <c:v>-999</c:v>
                </c:pt>
                <c:pt idx="13">
                  <c:v>-999</c:v>
                </c:pt>
                <c:pt idx="14">
                  <c:v>-999</c:v>
                </c:pt>
                <c:pt idx="15">
                  <c:v>-999</c:v>
                </c:pt>
                <c:pt idx="16">
                  <c:v>-999</c:v>
                </c:pt>
                <c:pt idx="17">
                  <c:v>-999</c:v>
                </c:pt>
                <c:pt idx="18">
                  <c:v>-999</c:v>
                </c:pt>
                <c:pt idx="19">
                  <c:v>-999</c:v>
                </c:pt>
                <c:pt idx="20">
                  <c:v>0.10640622673559622</c:v>
                </c:pt>
                <c:pt idx="21">
                  <c:v>-999</c:v>
                </c:pt>
                <c:pt idx="22">
                  <c:v>0.4859745286363481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0.6054633567559523</c:v>
                </c:pt>
                <c:pt idx="3">
                  <c:v>0.25000006332992464</c:v>
                </c:pt>
                <c:pt idx="4">
                  <c:v>-999</c:v>
                </c:pt>
                <c:pt idx="5">
                  <c:v>-999</c:v>
                </c:pt>
                <c:pt idx="6">
                  <c:v>-999</c:v>
                </c:pt>
                <c:pt idx="7">
                  <c:v>-999</c:v>
                </c:pt>
                <c:pt idx="8">
                  <c:v>-999</c:v>
                </c:pt>
                <c:pt idx="9">
                  <c:v>-999</c:v>
                </c:pt>
                <c:pt idx="10">
                  <c:v>-999</c:v>
                </c:pt>
                <c:pt idx="11">
                  <c:v>-999</c:v>
                </c:pt>
                <c:pt idx="12">
                  <c:v>-6.215905195914163E-09</c:v>
                </c:pt>
                <c:pt idx="13">
                  <c:v>-3.666377504168999E-09</c:v>
                </c:pt>
                <c:pt idx="14">
                  <c:v>-999</c:v>
                </c:pt>
                <c:pt idx="15">
                  <c:v>-999</c:v>
                </c:pt>
                <c:pt idx="16">
                  <c:v>-999</c:v>
                </c:pt>
                <c:pt idx="17">
                  <c:v>-999</c:v>
                </c:pt>
                <c:pt idx="18">
                  <c:v>-999</c:v>
                </c:pt>
                <c:pt idx="19">
                  <c:v>-999</c:v>
                </c:pt>
                <c:pt idx="20">
                  <c:v>-999</c:v>
                </c:pt>
                <c:pt idx="21">
                  <c:v>-999</c:v>
                </c:pt>
                <c:pt idx="22">
                  <c:v>-999</c:v>
                </c:pt>
                <c:pt idx="23">
                  <c:v>1.0000000456346216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343352"/>
        <c:axId val="15219257"/>
      </c:scatterChart>
      <c:catAx>
        <c:axId val="28926478"/>
        <c:scaling>
          <c:orientation val="maxMin"/>
        </c:scaling>
        <c:axPos val="l"/>
        <c:delete val="0"/>
        <c:numFmt formatCode="General" sourceLinked="1"/>
        <c:majorTickMark val="out"/>
        <c:minorTickMark val="none"/>
        <c:tickLblPos val="none"/>
        <c:spPr>
          <a:ln w="3175">
            <a:noFill/>
          </a:ln>
        </c:spPr>
        <c:crossAx val="59011711"/>
        <c:crosses val="autoZero"/>
        <c:auto val="1"/>
        <c:lblOffset val="100"/>
        <c:tickLblSkip val="1"/>
        <c:noMultiLvlLbl val="0"/>
      </c:catAx>
      <c:valAx>
        <c:axId val="59011711"/>
        <c:scaling>
          <c:orientation val="minMax"/>
          <c:max val="1"/>
          <c:min val="0"/>
        </c:scaling>
        <c:axPos val="t"/>
        <c:delete val="0"/>
        <c:numFmt formatCode="General" sourceLinked="1"/>
        <c:majorTickMark val="none"/>
        <c:minorTickMark val="none"/>
        <c:tickLblPos val="none"/>
        <c:spPr>
          <a:ln w="3175">
            <a:noFill/>
          </a:ln>
        </c:spPr>
        <c:crossAx val="28926478"/>
        <c:crossesAt val="1"/>
        <c:crossBetween val="between"/>
        <c:dispUnits/>
        <c:majorUnit val="1"/>
      </c:valAx>
      <c:valAx>
        <c:axId val="61343352"/>
        <c:scaling>
          <c:orientation val="minMax"/>
          <c:max val="1"/>
          <c:min val="0"/>
        </c:scaling>
        <c:axPos val="t"/>
        <c:delete val="0"/>
        <c:numFmt formatCode="General" sourceLinked="1"/>
        <c:majorTickMark val="none"/>
        <c:minorTickMark val="none"/>
        <c:tickLblPos val="none"/>
        <c:spPr>
          <a:ln w="3175">
            <a:noFill/>
          </a:ln>
        </c:spPr>
        <c:crossAx val="15219257"/>
        <c:crosses val="max"/>
        <c:crossBetween val="midCat"/>
        <c:dispUnits/>
        <c:majorUnit val="0.1"/>
        <c:minorUnit val="0.020000000000000004"/>
      </c:valAx>
      <c:valAx>
        <c:axId val="15219257"/>
        <c:scaling>
          <c:orientation val="maxMin"/>
          <c:max val="29"/>
          <c:min val="0"/>
        </c:scaling>
        <c:axPos val="l"/>
        <c:delete val="0"/>
        <c:numFmt formatCode="General" sourceLinked="1"/>
        <c:majorTickMark val="none"/>
        <c:minorTickMark val="none"/>
        <c:tickLblPos val="none"/>
        <c:spPr>
          <a:ln w="3175">
            <a:noFill/>
          </a:ln>
        </c:spPr>
        <c:crossAx val="6134335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(C84101) BAWTRY AND BLYTH MEDICAL, BASSETLAW PCT (5ET)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446</v>
      </c>
      <c r="Q3" s="65"/>
      <c r="R3" s="66"/>
      <c r="S3" s="66"/>
      <c r="T3" s="66"/>
      <c r="U3" s="66"/>
      <c r="V3" s="66"/>
      <c r="W3" s="66"/>
      <c r="X3" s="66"/>
      <c r="Y3" s="66"/>
      <c r="Z3" s="66"/>
      <c r="AA3" s="66"/>
      <c r="AB3" s="66"/>
      <c r="AC3" s="66"/>
    </row>
    <row r="4" spans="2:29" ht="18" customHeight="1">
      <c r="B4" s="319" t="s">
        <v>491</v>
      </c>
      <c r="C4" s="320"/>
      <c r="D4" s="320"/>
      <c r="E4" s="320"/>
      <c r="F4" s="320"/>
      <c r="G4" s="321"/>
      <c r="H4" s="112"/>
      <c r="I4" s="112"/>
      <c r="J4" s="112"/>
      <c r="K4" s="112"/>
      <c r="L4" s="113"/>
      <c r="M4" s="65"/>
      <c r="N4" s="65"/>
      <c r="O4" s="65"/>
      <c r="P4" s="134" t="s">
        <v>447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448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490</v>
      </c>
      <c r="C8" s="115"/>
      <c r="D8" s="115"/>
      <c r="E8" s="128">
        <f>VLOOKUP('Hide - Control'!A$3,'All practice data'!A:CA,4,FALSE)</f>
        <v>2739</v>
      </c>
      <c r="F8" s="310" t="str">
        <f>VLOOKUP('Hide - Control'!B4,'Hide - Calculation'!AY:BA,3,FALSE)</f>
        <v> </v>
      </c>
      <c r="G8" s="310"/>
      <c r="H8" s="310"/>
      <c r="I8" s="115"/>
      <c r="J8" s="115"/>
      <c r="K8" s="115"/>
      <c r="L8" s="115"/>
      <c r="M8" s="109"/>
      <c r="N8" s="314" t="s">
        <v>456</v>
      </c>
      <c r="O8" s="314"/>
      <c r="P8" s="314"/>
      <c r="Q8" s="314" t="s">
        <v>32</v>
      </c>
      <c r="R8" s="314"/>
      <c r="S8" s="314"/>
      <c r="T8" s="314" t="s">
        <v>494</v>
      </c>
      <c r="U8" s="314"/>
      <c r="V8" s="314" t="s">
        <v>33</v>
      </c>
      <c r="W8" s="314"/>
      <c r="X8" s="314"/>
      <c r="Y8" s="135"/>
      <c r="Z8" s="314" t="s">
        <v>449</v>
      </c>
      <c r="AA8" s="314"/>
      <c r="AB8" s="161"/>
      <c r="AC8" s="109"/>
    </row>
    <row r="9" spans="2:29" s="61" customFormat="1" ht="19.5" customHeight="1" thickBot="1">
      <c r="B9" s="114" t="s">
        <v>441</v>
      </c>
      <c r="C9" s="114"/>
      <c r="D9" s="114"/>
      <c r="E9" s="129">
        <f>VLOOKUP('Hide - Control'!B4,'Hide - Calculation'!AY:BB,4,FALSE)</f>
        <v>110145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438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419</v>
      </c>
      <c r="E11" s="317"/>
      <c r="F11" s="318"/>
      <c r="G11" s="263" t="s">
        <v>417</v>
      </c>
      <c r="H11" s="255" t="s">
        <v>418</v>
      </c>
      <c r="I11" s="255" t="s">
        <v>429</v>
      </c>
      <c r="J11" s="255" t="s">
        <v>430</v>
      </c>
      <c r="K11" s="255" t="s">
        <v>303</v>
      </c>
      <c r="L11" s="256" t="s">
        <v>343</v>
      </c>
      <c r="M11" s="257" t="s">
        <v>439</v>
      </c>
      <c r="N11" s="334" t="s">
        <v>437</v>
      </c>
      <c r="O11" s="334"/>
      <c r="P11" s="334"/>
      <c r="Q11" s="334"/>
      <c r="R11" s="334"/>
      <c r="S11" s="334"/>
      <c r="T11" s="334"/>
      <c r="U11" s="334"/>
      <c r="V11" s="334"/>
      <c r="W11" s="334"/>
      <c r="X11" s="334"/>
      <c r="Y11" s="334"/>
      <c r="Z11" s="334"/>
      <c r="AA11" s="258" t="s">
        <v>440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301</v>
      </c>
      <c r="C13" s="163">
        <v>1</v>
      </c>
      <c r="D13" s="312" t="s">
        <v>297</v>
      </c>
      <c r="E13" s="313"/>
      <c r="F13" s="313"/>
      <c r="G13" s="166">
        <f>IF(VLOOKUP('Hide - Control'!A$3,'All practice data'!A:CA,C13+4,FALSE)=" "," ",VLOOKUP('Hide - Control'!A$3,'All practice data'!A:CA,C13+4,FALSE))</f>
        <v>569</v>
      </c>
      <c r="H13" s="190">
        <f>IF(VLOOKUP('Hide - Control'!A$3,'All practice data'!A:CA,C13+30,FALSE)=" "," ",VLOOKUP('Hide - Control'!A$3,'All practice data'!A:CA,C13+30,FALSE))</f>
        <v>0.2077400511135451</v>
      </c>
      <c r="I13" s="191">
        <f>IF(LEFT(G13,1)=" "," n/a",+((2*G13+1.96^2-1.96*SQRT(1.96^2+4*G13*(1-G13/E$8)))/(2*(E$8+1.96^2))))</f>
        <v>0.19296114761254013</v>
      </c>
      <c r="J13" s="191">
        <f>IF(LEFT(G13,1)=" "," n/a",+((2*G13+1.96^2+1.96*SQRT(1.96^2+4*G13*(1-G13/E$8)))/(2*(E$8+1.96^2))))</f>
        <v>0.2233376280805221</v>
      </c>
      <c r="K13" s="190">
        <f>IF('Hide - Calculation'!N7="","",'Hide - Calculation'!N7)</f>
        <v>0.18384856325752416</v>
      </c>
      <c r="L13" s="192">
        <f>'Hide - Calculation'!O7</f>
        <v>0.1599882305185145</v>
      </c>
      <c r="M13" s="208">
        <f>IF(ISBLANK('Hide - Calculation'!K7),"",'Hide - Calculation'!U7)</f>
        <v>0.16277223825454712</v>
      </c>
      <c r="N13" s="173"/>
      <c r="O13" s="173"/>
      <c r="P13" s="173"/>
      <c r="Q13" s="173"/>
      <c r="R13" s="173"/>
      <c r="S13" s="173"/>
      <c r="T13" s="173"/>
      <c r="U13" s="173"/>
      <c r="V13" s="173"/>
      <c r="W13" s="173"/>
      <c r="X13" s="173"/>
      <c r="Y13" s="173"/>
      <c r="Z13" s="173"/>
      <c r="AA13" s="226">
        <f>IF(ISBLANK('Hide - Calculation'!K7),"",'Hide - Calculation'!T7)</f>
        <v>0.23744292557239532</v>
      </c>
      <c r="AB13" s="233" t="s">
        <v>488</v>
      </c>
      <c r="AC13" s="209" t="s">
        <v>489</v>
      </c>
    </row>
    <row r="14" spans="2:29" ht="33.75" customHeight="1">
      <c r="B14" s="306"/>
      <c r="C14" s="137">
        <v>2</v>
      </c>
      <c r="D14" s="132" t="s">
        <v>450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0.07984865715126147</v>
      </c>
      <c r="J14" s="120">
        <f>IF(LEFT(G14,1)=" "," n/a",+((2*H14*E8+1.96^2+1.96*SQRT(1.96^2+4*H14*E8*(1-H14*E8/E$8)))/(2*(E$8+1.96^2))))</f>
        <v>0.10129982769015261</v>
      </c>
      <c r="K14" s="119">
        <f>IF('Hide - Calculation'!N8="","",'Hide - Calculation'!N8)</f>
        <v>0.1398718053474965</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0.18000000715255737</v>
      </c>
      <c r="AB14" s="234" t="s">
        <v>39</v>
      </c>
      <c r="AC14" s="130" t="s">
        <v>489</v>
      </c>
    </row>
    <row r="15" spans="2:39" s="63" customFormat="1" ht="33.75" customHeight="1">
      <c r="B15" s="306"/>
      <c r="C15" s="137">
        <v>3</v>
      </c>
      <c r="D15" s="132" t="s">
        <v>306</v>
      </c>
      <c r="E15" s="85"/>
      <c r="F15" s="85"/>
      <c r="G15" s="121">
        <f>IF(VLOOKUP('Hide - Control'!A$3,'All practice data'!A:CA,C15+4,FALSE)=" "," ",VLOOKUP('Hide - Control'!A$3,'All practice data'!A:CA,C15+4,FALSE))</f>
        <v>20</v>
      </c>
      <c r="H15" s="122">
        <f>IF(VLOOKUP('Hide - Control'!A$3,'All practice data'!A:CA,C15+30,FALSE)=" "," ",VLOOKUP('Hide - Control'!A$3,'All practice data'!A:CA,C15+30,FALSE))</f>
        <v>730.1935012778387</v>
      </c>
      <c r="I15" s="123">
        <f>IF(LEFT(G15,1)=" "," n/a",IF(G15&lt;5,100000*VLOOKUP(G15,'Hide - Calculation'!AQ:AR,2,FALSE)/$E$8,100000*(G15*(1-1/(9*G15)-1.96/(3*SQRT(G15)))^3)/$E$8))</f>
        <v>445.83106660735837</v>
      </c>
      <c r="J15" s="123">
        <f>IF(LEFT(G15,1)=" "," n/a",IF(G15&lt;5,100000*VLOOKUP(G15,'Hide - Calculation'!AQ:AS,3,FALSE)/$E$8,100000*((G15+1)*(1-1/(9*(G15+1))+1.96/(3*SQRT(G15+1)))^3)/$E$8))</f>
        <v>1127.7872886554542</v>
      </c>
      <c r="K15" s="122">
        <f>IF('Hide - Calculation'!N9="","",'Hide - Calculation'!N9)</f>
        <v>530.2101774933043</v>
      </c>
      <c r="L15" s="156">
        <f>'Hide - Calculation'!O9</f>
        <v>445.6198871279627</v>
      </c>
      <c r="M15" s="151">
        <f>IF(ISBLANK('Hide - Calculation'!K9),"",'Hide - Calculation'!U9)</f>
        <v>329.57501220703125</v>
      </c>
      <c r="N15" s="84"/>
      <c r="O15" s="84"/>
      <c r="P15" s="84"/>
      <c r="Q15" s="84"/>
      <c r="R15" s="84"/>
      <c r="S15" s="84"/>
      <c r="T15" s="84"/>
      <c r="U15" s="84"/>
      <c r="V15" s="84"/>
      <c r="W15" s="84"/>
      <c r="X15" s="84"/>
      <c r="Y15" s="84"/>
      <c r="Z15" s="84"/>
      <c r="AA15" s="228">
        <f>IF(ISBLANK('Hide - Calculation'!K9),"",'Hide - Calculation'!T9)</f>
        <v>799.2008056640625</v>
      </c>
      <c r="AB15" s="234" t="s">
        <v>420</v>
      </c>
      <c r="AC15" s="131">
        <v>2009</v>
      </c>
      <c r="AD15" s="64"/>
      <c r="AE15" s="64"/>
      <c r="AF15" s="64"/>
      <c r="AG15" s="64"/>
      <c r="AH15" s="64"/>
      <c r="AI15" s="64"/>
      <c r="AJ15" s="64"/>
      <c r="AK15" s="64"/>
      <c r="AL15" s="64"/>
      <c r="AM15" s="64"/>
    </row>
    <row r="16" spans="2:29" s="63" customFormat="1" ht="33.75" customHeight="1">
      <c r="B16" s="306"/>
      <c r="C16" s="137">
        <v>4</v>
      </c>
      <c r="D16" s="132" t="s">
        <v>442</v>
      </c>
      <c r="E16" s="85"/>
      <c r="F16" s="85"/>
      <c r="G16" s="121">
        <f>IF(VLOOKUP('Hide - Control'!A$3,'All practice data'!A:CA,C16+4,FALSE)=" "," ",VLOOKUP('Hide - Control'!A$3,'All practice data'!A:CA,C16+4,FALSE))</f>
        <v>14</v>
      </c>
      <c r="H16" s="122">
        <f>IF(VLOOKUP('Hide - Control'!A$3,'All practice data'!A:CA,C16+30,FALSE)=" "," ",VLOOKUP('Hide - Control'!A$3,'All practice data'!A:CA,C16+30,FALSE))</f>
        <v>511.13545089448706</v>
      </c>
      <c r="I16" s="123">
        <f>IF(LEFT(G16,1)=" "," n/a",IF(G16&lt;5,100000*VLOOKUP(G16,'Hide - Calculation'!AQ:AR,2,FALSE)/$E$8,100000*(G16*(1-1/(9*G16)-1.96/(3*SQRT(G16)))^3)/$E$8))</f>
        <v>279.20557322906905</v>
      </c>
      <c r="J16" s="123">
        <f>IF(LEFT(G16,1)=" "," n/a",IF(G16&lt;5,100000*VLOOKUP(G16,'Hide - Calculation'!AQ:AS,3,FALSE)/$E$8,100000*((G16+1)*(1-1/(9*(G16+1))+1.96/(3*SQRT(G16+1)))^3)/$E$8))</f>
        <v>857.6555636152885</v>
      </c>
      <c r="K16" s="122">
        <f>IF('Hide - Calculation'!N10="","",'Hide - Calculation'!N10)</f>
        <v>315.9471605610786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511.13543701171875</v>
      </c>
      <c r="AB16" s="234" t="s">
        <v>300</v>
      </c>
      <c r="AC16" s="131" t="s">
        <v>474</v>
      </c>
    </row>
    <row r="17" spans="2:29" s="63" customFormat="1" ht="33.75" customHeight="1" thickBot="1">
      <c r="B17" s="309"/>
      <c r="C17" s="180">
        <v>5</v>
      </c>
      <c r="D17" s="195" t="s">
        <v>305</v>
      </c>
      <c r="E17" s="182"/>
      <c r="F17" s="182"/>
      <c r="G17" s="140">
        <f>IF(VLOOKUP('Hide - Control'!A$3,'All practice data'!A:CA,C17+4,FALSE)=" "," ",VLOOKUP('Hide - Control'!A$3,'All practice data'!A:CA,C17+4,FALSE))</f>
        <v>43</v>
      </c>
      <c r="H17" s="141">
        <f>IF(VLOOKUP('Hide - Control'!A$3,'All practice data'!A:CA,C17+30,FALSE)=" "," ",VLOOKUP('Hide - Control'!A$3,'All practice data'!A:CA,C17+30,FALSE))</f>
        <v>0.016</v>
      </c>
      <c r="I17" s="142">
        <f>IF(LEFT(G17,1)=" "," n/a",+((2*G17+1.96^2-1.96*SQRT(1.96^2+4*G17*(1-G17/E$8)))/(2*(E$8+1.96^2))))</f>
        <v>0.011676083634933663</v>
      </c>
      <c r="J17" s="142">
        <f>IF(LEFT(G17,1)=" "," n/a",+((2*G17+1.96^2+1.96*SQRT(1.96^2+4*G17*(1-G17/E$8)))/(2*(E$8+1.96^2))))</f>
        <v>0.02107885197636813</v>
      </c>
      <c r="K17" s="141">
        <f>IF('Hide - Calculation'!N11="","",'Hide - Calculation'!N11)</f>
        <v>0.016060647328521496</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0.024000000208616257</v>
      </c>
      <c r="AB17" s="235" t="s">
        <v>443</v>
      </c>
      <c r="AC17" s="189" t="s">
        <v>474</v>
      </c>
    </row>
    <row r="18" spans="2:29" s="63" customFormat="1" ht="33.75" customHeight="1">
      <c r="B18" s="308" t="s">
        <v>13</v>
      </c>
      <c r="C18" s="163">
        <v>6</v>
      </c>
      <c r="D18" s="164" t="s">
        <v>451</v>
      </c>
      <c r="E18" s="165"/>
      <c r="F18" s="165"/>
      <c r="G18" s="219">
        <f>IF(OR(VLOOKUP('Hide - Control'!A$3,'All practice data'!A:CA,C18+4,FALSE)=" ",VLOOKUP('Hide - Control'!A$3,'All practice data'!A:CA,C18+52,FALSE)=0)," n/a",VLOOKUP('Hide - Control'!A$3,'All practice data'!A:CA,C18+4,FALSE))</f>
        <v>353</v>
      </c>
      <c r="H18" s="220">
        <f>IF(OR(VLOOKUP('Hide - Control'!A$3,'All practice data'!A:CA,C18+30,FALSE)=" ",VLOOKUP('Hide - Control'!A$3,'All practice data'!A:CA,C18+52,FALSE)=0)," n/a",VLOOKUP('Hide - Control'!A$3,'All practice data'!A:CA,C18+30,FALSE))</f>
        <v>0.789709</v>
      </c>
      <c r="I18" s="191">
        <f>IF(OR(LEFT(H18,1)=" ",VLOOKUP('Hide - Control'!A$3,'All practice data'!A:CA,C18+52,FALSE)=0)," n/a",+((2*G18+1.96^2-1.96*SQRT(1.96^2+4*G18*(1-G18/(VLOOKUP('Hide - Control'!A$3,'All practice data'!A:CA,C18+52,FALSE)))))/(2*(((VLOOKUP('Hide - Control'!A$3,'All practice data'!A:CA,C18+52,FALSE)))+1.96^2))))</f>
        <v>0.7495423427729476</v>
      </c>
      <c r="J18" s="191">
        <f>IF(OR(LEFT(H18,1)=" ",VLOOKUP('Hide - Control'!A$3,'All practice data'!A:CA,C18+52,FALSE)=0)," n/a",+((2*G18+1.96^2+1.96*SQRT(1.96^2+4*G18*(1-G18/(VLOOKUP('Hide - Control'!A$3,'All practice data'!A:CA,C18+52,FALSE)))))/(2*((VLOOKUP('Hide - Control'!A$3,'All practice data'!A:CA,C18+52,FALSE))+1.96^2))))</f>
        <v>0.8249388053730975</v>
      </c>
      <c r="K18" s="220">
        <f>IF('Hide - Calculation'!N12="","",'Hide - Calculation'!N12)</f>
        <v>0.7585170340681363</v>
      </c>
      <c r="L18" s="192">
        <f>'Hide - Calculation'!O12</f>
        <v>0.7248631360507991</v>
      </c>
      <c r="M18" s="193">
        <f>IF(ISBLANK('Hide - Calculation'!K12),"",'Hide - Calculation'!U12)</f>
        <v>0.6957399845123291</v>
      </c>
      <c r="N18" s="194"/>
      <c r="O18" s="173"/>
      <c r="P18" s="173"/>
      <c r="Q18" s="173"/>
      <c r="R18" s="173"/>
      <c r="S18" s="173"/>
      <c r="T18" s="173"/>
      <c r="U18" s="173"/>
      <c r="V18" s="173"/>
      <c r="W18" s="173"/>
      <c r="X18" s="173"/>
      <c r="Y18" s="173"/>
      <c r="Z18" s="174"/>
      <c r="AA18" s="193">
        <f>IF(ISBLANK('Hide - Calculation'!K12),"",'Hide - Calculation'!T12)</f>
        <v>0.8008469939231873</v>
      </c>
      <c r="AB18" s="233" t="s">
        <v>48</v>
      </c>
      <c r="AC18" s="175" t="s">
        <v>475</v>
      </c>
    </row>
    <row r="19" spans="2:29" s="63" customFormat="1" ht="33.75" customHeight="1">
      <c r="B19" s="306"/>
      <c r="C19" s="137">
        <v>7</v>
      </c>
      <c r="D19" s="132" t="s">
        <v>452</v>
      </c>
      <c r="E19" s="85"/>
      <c r="F19" s="85"/>
      <c r="G19" s="221">
        <f>IF(OR(VLOOKUP('Hide - Control'!A$3,'All practice data'!A:CA,C19+4,FALSE)=" ",VLOOKUP('Hide - Control'!A$3,'All practice data'!A:CA,C19+52,FALSE)=0)," n/a",VLOOKUP('Hide - Control'!A$3,'All practice data'!A:CA,C19+4,FALSE))</f>
        <v>116</v>
      </c>
      <c r="H19" s="218">
        <f>IF(OR(VLOOKUP('Hide - Control'!A$3,'All practice data'!A:CA,C19+30,FALSE)=" ",VLOOKUP('Hide - Control'!A$3,'All practice data'!A:CA,C19+52,FALSE)=0)," n/a",VLOOKUP('Hide - Control'!A$3,'All practice data'!A:CA,C19+30,FALSE))</f>
        <v>0.805556</v>
      </c>
      <c r="I19" s="120">
        <f>IF(OR(LEFT(H19,1)=" ",VLOOKUP('Hide - Control'!A$3,'All practice data'!A:CA,C19+52,FALSE)=0)," n/a",+((2*G19+1.96^2-1.96*SQRT(1.96^2+4*G19*(1-G19/(VLOOKUP('Hide - Control'!A$3,'All practice data'!A:CA,C19+52,FALSE)))))/(2*(((VLOOKUP('Hide - Control'!A$3,'All practice data'!A:CA,C19+52,FALSE)))+1.96^2))))</f>
        <v>0.7333262253288662</v>
      </c>
      <c r="J19" s="120">
        <f>IF(OR(LEFT(H19,1)=" ",VLOOKUP('Hide - Control'!A$3,'All practice data'!A:CA,C19+52,FALSE)=0)," n/a",+((2*G19+1.96^2+1.96*SQRT(1.96^2+4*G19*(1-G19/(VLOOKUP('Hide - Control'!A$3,'All practice data'!A:CA,C19+52,FALSE)))))/(2*((VLOOKUP('Hide - Control'!A$3,'All practice data'!A:CA,C19+52,FALSE))+1.96^2))))</f>
        <v>0.861905428008219</v>
      </c>
      <c r="K19" s="218">
        <f>IF('Hide - Calculation'!N13="","",'Hide - Calculation'!N13)</f>
        <v>0.7403603952722341</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0.9166669845581055</v>
      </c>
      <c r="AB19" s="234" t="s">
        <v>48</v>
      </c>
      <c r="AC19" s="131" t="s">
        <v>474</v>
      </c>
    </row>
    <row r="20" spans="2:29" s="63" customFormat="1" ht="33.75" customHeight="1">
      <c r="B20" s="306"/>
      <c r="C20" s="137">
        <v>8</v>
      </c>
      <c r="D20" s="132" t="s">
        <v>453</v>
      </c>
      <c r="E20" s="85"/>
      <c r="F20" s="85"/>
      <c r="G20" s="221">
        <f>IF(OR(VLOOKUP('Hide - Control'!A$3,'All practice data'!A:CA,C20+4,FALSE)=" ",VLOOKUP('Hide - Control'!A$3,'All practice data'!A:CA,C20+52,FALSE)=0)," n/a",VLOOKUP('Hide - Control'!A$3,'All practice data'!A:CA,C20+4,FALSE))</f>
        <v>528</v>
      </c>
      <c r="H20" s="218">
        <f>IF(OR(VLOOKUP('Hide - Control'!A$3,'All practice data'!A:CA,C20+30,FALSE)=" ",VLOOKUP('Hide - Control'!A$3,'All practice data'!A:CA,C20+52,FALSE)=0)," n/a",VLOOKUP('Hide - Control'!A$3,'All practice data'!A:CA,C20+30,FALSE))</f>
        <v>0.797583</v>
      </c>
      <c r="I20" s="120">
        <f>IF(OR(LEFT(H20,1)=" ",VLOOKUP('Hide - Control'!A$3,'All practice data'!A:CA,C20+52,FALSE)=0)," n/a",+((2*G20+1.96^2-1.96*SQRT(1.96^2+4*G20*(1-G20/(VLOOKUP('Hide - Control'!A$3,'All practice data'!A:CA,C20+52,FALSE)))))/(2*(((VLOOKUP('Hide - Control'!A$3,'All practice data'!A:CA,C20+52,FALSE)))+1.96^2))))</f>
        <v>0.7652980879746307</v>
      </c>
      <c r="J20" s="120">
        <f>IF(OR(LEFT(H20,1)=" ",VLOOKUP('Hide - Control'!A$3,'All practice data'!A:CA,C20+52,FALSE)=0)," n/a",+((2*G20+1.96^2+1.96*SQRT(1.96^2+4*G20*(1-G20/(VLOOKUP('Hide - Control'!A$3,'All practice data'!A:CA,C20+52,FALSE)))))/(2*((VLOOKUP('Hide - Control'!A$3,'All practice data'!A:CA,C20+52,FALSE))+1.96^2))))</f>
        <v>0.8264342399544143</v>
      </c>
      <c r="K20" s="218">
        <f>IF('Hide - Calculation'!N14="","",'Hide - Calculation'!N14)</f>
        <v>0.7993051843933725</v>
      </c>
      <c r="L20" s="155">
        <f>'Hide - Calculation'!O14</f>
        <v>0.7559681673907895</v>
      </c>
      <c r="M20" s="152">
        <f>IF(ISBLANK('Hide - Calculation'!K14),"",'Hide - Calculation'!U14)</f>
        <v>0.7296649813652039</v>
      </c>
      <c r="N20" s="160"/>
      <c r="O20" s="84"/>
      <c r="P20" s="84"/>
      <c r="Q20" s="84"/>
      <c r="R20" s="84"/>
      <c r="S20" s="84"/>
      <c r="T20" s="84"/>
      <c r="U20" s="84"/>
      <c r="V20" s="84"/>
      <c r="W20" s="84"/>
      <c r="X20" s="84"/>
      <c r="Y20" s="84"/>
      <c r="Z20" s="88"/>
      <c r="AA20" s="152">
        <f>IF(ISBLANK('Hide - Calculation'!K14),"",'Hide - Calculation'!T14)</f>
        <v>0.864952027797699</v>
      </c>
      <c r="AB20" s="234" t="s">
        <v>48</v>
      </c>
      <c r="AC20" s="131" t="s">
        <v>476</v>
      </c>
    </row>
    <row r="21" spans="2:29" s="63" customFormat="1" ht="33.75" customHeight="1">
      <c r="B21" s="306"/>
      <c r="C21" s="137">
        <v>9</v>
      </c>
      <c r="D21" s="132" t="s">
        <v>454</v>
      </c>
      <c r="E21" s="85"/>
      <c r="F21" s="85"/>
      <c r="G21" s="221">
        <f>IF(OR(VLOOKUP('Hide - Control'!A$3,'All practice data'!A:CA,C21+4,FALSE)=" ",VLOOKUP('Hide - Control'!A$3,'All practice data'!A:CA,C21+52,FALSE)=0)," n/a",VLOOKUP('Hide - Control'!A$3,'All practice data'!A:CA,C21+4,FALSE))</f>
        <v>263</v>
      </c>
      <c r="H21" s="218">
        <f>IF(OR(VLOOKUP('Hide - Control'!A$3,'All practice data'!A:CA,C21+30,FALSE)=" ",VLOOKUP('Hide - Control'!A$3,'All practice data'!A:CA,C21+52,FALSE)=0)," n/a",VLOOKUP('Hide - Control'!A$3,'All practice data'!A:CA,C21+30,FALSE))</f>
        <v>0.589686</v>
      </c>
      <c r="I21" s="120">
        <f>IF(OR(LEFT(H21,1)=" ",VLOOKUP('Hide - Control'!A$3,'All practice data'!A:CA,C21+52,FALSE)=0)," n/a",+((2*G21+1.96^2-1.96*SQRT(1.96^2+4*G21*(1-G21/(VLOOKUP('Hide - Control'!A$3,'All practice data'!A:CA,C21+52,FALSE)))))/(2*(((VLOOKUP('Hide - Control'!A$3,'All practice data'!A:CA,C21+52,FALSE)))+1.96^2))))</f>
        <v>0.5434573591024914</v>
      </c>
      <c r="J21" s="120">
        <f>IF(OR(LEFT(H21,1)=" ",VLOOKUP('Hide - Control'!A$3,'All practice data'!A:CA,C21+52,FALSE)=0)," n/a",+((2*G21+1.96^2+1.96*SQRT(1.96^2+4*G21*(1-G21/(VLOOKUP('Hide - Control'!A$3,'All practice data'!A:CA,C21+52,FALSE)))))/(2*((VLOOKUP('Hide - Control'!A$3,'All practice data'!A:CA,C21+52,FALSE))+1.96^2))))</f>
        <v>0.6343830184881983</v>
      </c>
      <c r="K21" s="218">
        <f>IF('Hide - Calculation'!N15="","",'Hide - Calculation'!N15)</f>
        <v>0.5708436286621955</v>
      </c>
      <c r="L21" s="155">
        <f>'Hide - Calculation'!O15</f>
        <v>0.5147293797466616</v>
      </c>
      <c r="M21" s="152">
        <f>IF(ISBLANK('Hide - Calculation'!K15),"",'Hide - Calculation'!U15)</f>
        <v>0.5019609928131104</v>
      </c>
      <c r="N21" s="160"/>
      <c r="O21" s="84"/>
      <c r="P21" s="84"/>
      <c r="Q21" s="84"/>
      <c r="R21" s="84"/>
      <c r="S21" s="84"/>
      <c r="T21" s="84"/>
      <c r="U21" s="84"/>
      <c r="V21" s="84"/>
      <c r="W21" s="84"/>
      <c r="X21" s="84"/>
      <c r="Y21" s="84"/>
      <c r="Z21" s="88"/>
      <c r="AA21" s="152">
        <f>IF(ISBLANK('Hide - Calculation'!K15),"",'Hide - Calculation'!T15)</f>
        <v>0.6100429892539978</v>
      </c>
      <c r="AB21" s="234" t="s">
        <v>48</v>
      </c>
      <c r="AC21" s="131" t="s">
        <v>475</v>
      </c>
    </row>
    <row r="22" spans="2:29" s="63" customFormat="1" ht="33.75" customHeight="1" thickBot="1">
      <c r="B22" s="309"/>
      <c r="C22" s="180">
        <v>10</v>
      </c>
      <c r="D22" s="195" t="s">
        <v>455</v>
      </c>
      <c r="E22" s="182"/>
      <c r="F22" s="182"/>
      <c r="G22" s="222">
        <f>IF(OR(VLOOKUP('Hide - Control'!A$3,'All practice data'!A:CA,C22+4,FALSE)=" ",VLOOKUP('Hide - Control'!A$3,'All practice data'!A:CA,C22+52,FALSE)=0)," n/a",VLOOKUP('Hide - Control'!A$3,'All practice data'!A:CA,C22+4,FALSE))</f>
        <v>63</v>
      </c>
      <c r="H22" s="223">
        <f>IF(OR(VLOOKUP('Hide - Control'!A$3,'All practice data'!A:CA,C22+30,FALSE)=" ",VLOOKUP('Hide - Control'!A$3,'All practice data'!A:CA,C22+52,FALSE)=0)," n/a",VLOOKUP('Hide - Control'!A$3,'All practice data'!A:CA,C22+30,FALSE))</f>
        <v>0.677419</v>
      </c>
      <c r="I22" s="196">
        <f>IF(OR(LEFT(H22,1)=" ",VLOOKUP('Hide - Control'!A$3,'All practice data'!A:CA,C22+52,FALSE)=0)," n/a",+((2*G22+1.96^2-1.96*SQRT(1.96^2+4*G22*(1-G22/(VLOOKUP('Hide - Control'!A$3,'All practice data'!A:CA,C22+52,FALSE)))))/(2*(((VLOOKUP('Hide - Control'!A$3,'All practice data'!A:CA,C22+52,FALSE)))+1.96^2))))</f>
        <v>0.5770106827427647</v>
      </c>
      <c r="J22" s="196">
        <f>IF(OR(LEFT(H22,1)=" ",VLOOKUP('Hide - Control'!A$3,'All practice data'!A:CA,C22+52,FALSE)=0)," n/a",+((2*G22+1.96^2+1.96*SQRT(1.96^2+4*G22*(1-G22/(VLOOKUP('Hide - Control'!A$3,'All practice data'!A:CA,C22+52,FALSE)))))/(2*((VLOOKUP('Hide - Control'!A$3,'All practice data'!A:CA,C22+52,FALSE))+1.96^2))))</f>
        <v>0.7637519647145264</v>
      </c>
      <c r="K22" s="223">
        <f>IF('Hide - Calculation'!N16="","",'Hide - Calculation'!N16)</f>
        <v>0.5995211014666267</v>
      </c>
      <c r="L22" s="197">
        <f>'Hide - Calculation'!O16</f>
        <v>0.5752927626212945</v>
      </c>
      <c r="M22" s="198">
        <f>IF(ISBLANK('Hide - Calculation'!K16),"",'Hide - Calculation'!U16)</f>
        <v>0.5094339847564697</v>
      </c>
      <c r="N22" s="199"/>
      <c r="O22" s="91"/>
      <c r="P22" s="91"/>
      <c r="Q22" s="91"/>
      <c r="R22" s="91"/>
      <c r="S22" s="91"/>
      <c r="T22" s="91"/>
      <c r="U22" s="91"/>
      <c r="V22" s="91"/>
      <c r="W22" s="91"/>
      <c r="X22" s="91"/>
      <c r="Y22" s="91"/>
      <c r="Z22" s="188"/>
      <c r="AA22" s="198">
        <f>IF(ISBLANK('Hide - Calculation'!K16),"",'Hide - Calculation'!T16)</f>
        <v>0.6774190068244934</v>
      </c>
      <c r="AB22" s="235" t="s">
        <v>48</v>
      </c>
      <c r="AC22" s="189" t="s">
        <v>474</v>
      </c>
    </row>
    <row r="23" spans="2:29" s="63" customFormat="1" ht="33.75" customHeight="1">
      <c r="B23" s="308" t="s">
        <v>295</v>
      </c>
      <c r="C23" s="163">
        <v>11</v>
      </c>
      <c r="D23" s="179" t="s">
        <v>307</v>
      </c>
      <c r="E23" s="165"/>
      <c r="F23" s="165"/>
      <c r="G23" s="118">
        <f>IF(VLOOKUP('Hide - Control'!A$3,'All practice data'!A:CA,C23+4,FALSE)=" "," ",VLOOKUP('Hide - Control'!A$3,'All practice data'!A:CA,C23+4,FALSE))</f>
        <v>21</v>
      </c>
      <c r="H23" s="216">
        <f>IF(VLOOKUP('Hide - Control'!A$3,'All practice data'!A:CA,C23+30,FALSE)=" "," ",VLOOKUP('Hide - Control'!A$3,'All practice data'!A:CA,C23+30,FALSE))</f>
        <v>766.7031763417306</v>
      </c>
      <c r="I23" s="215">
        <f>IF(LEFT(G23,1)=" "," n/a",IF(G23&lt;5,100000*VLOOKUP(G23,'Hide - Calculation'!AQ:AR,2,FALSE)/$E$8,100000*(G23*(1-1/(9*G23)-1.96/(3*SQRT(G23)))^3)/$E$8))</f>
        <v>474.4168186291041</v>
      </c>
      <c r="J23" s="215">
        <f>IF(LEFT(G23,1)=" "," n/a",IF(G23&lt;5,100000*VLOOKUP(G23,'Hide - Calculation'!AQ:AS,3,FALSE)/$E$8,100000*((G23+1)*(1-1/(9*(G23+1))+1.96/(3*SQRT(G23+1)))^3)/$E$8))</f>
        <v>1172.0502958779016</v>
      </c>
      <c r="K23" s="216">
        <f>IF('Hide - Calculation'!N17="","",'Hide - Calculation'!N17)</f>
        <v>1556.1305551772664</v>
      </c>
      <c r="L23" s="217">
        <f>'Hide - Calculation'!O17</f>
        <v>1812.1669120472948</v>
      </c>
      <c r="M23" s="170">
        <f>IF(ISBLANK('Hide - Calculation'!K17),"",'Hide - Calculation'!U17)</f>
        <v>766.7031860351562</v>
      </c>
      <c r="N23" s="171"/>
      <c r="O23" s="172"/>
      <c r="P23" s="172"/>
      <c r="Q23" s="172"/>
      <c r="R23" s="173"/>
      <c r="S23" s="173"/>
      <c r="T23" s="173"/>
      <c r="U23" s="173"/>
      <c r="V23" s="173"/>
      <c r="W23" s="173"/>
      <c r="X23" s="173"/>
      <c r="Y23" s="173"/>
      <c r="Z23" s="174"/>
      <c r="AA23" s="170">
        <f>IF(ISBLANK('Hide - Calculation'!K17),"",'Hide - Calculation'!T17)</f>
        <v>1975.4404296875</v>
      </c>
      <c r="AB23" s="233" t="s">
        <v>26</v>
      </c>
      <c r="AC23" s="175" t="s">
        <v>474</v>
      </c>
    </row>
    <row r="24" spans="2:29" s="63" customFormat="1" ht="33.75" customHeight="1">
      <c r="B24" s="306"/>
      <c r="C24" s="137">
        <v>12</v>
      </c>
      <c r="D24" s="147" t="s">
        <v>461</v>
      </c>
      <c r="E24" s="85"/>
      <c r="F24" s="85"/>
      <c r="G24" s="118">
        <f>IF(VLOOKUP('Hide - Control'!A$3,'All practice data'!A:CA,C24+4,FALSE)=" "," ",VLOOKUP('Hide - Control'!A$3,'All practice data'!A:CA,C24+4,FALSE))</f>
        <v>21</v>
      </c>
      <c r="H24" s="119">
        <f>IF(VLOOKUP('Hide - Control'!A$3,'All practice data'!A:CA,C24+30,FALSE)=" "," ",VLOOKUP('Hide - Control'!A$3,'All practice data'!A:CA,C24+30,FALSE))</f>
        <v>0.3477984619</v>
      </c>
      <c r="I24" s="212">
        <f>IF(LEFT(VLOOKUP('Hide - Control'!A$3,'All practice data'!A:CA,C24+44,FALSE),1)=" "," n/a",VLOOKUP('Hide - Control'!A$3,'All practice data'!A:CA,C24+44,FALSE))</f>
        <v>0.21529272079999998</v>
      </c>
      <c r="J24" s="212">
        <f>IF(LEFT(VLOOKUP('Hide - Control'!A$3,'All practice data'!A:CA,C24+45,FALSE),1)=" "," n/a",VLOOKUP('Hide - Control'!A$3,'All practice data'!A:CA,C24+45,FALSE))</f>
        <v>0.5316468811</v>
      </c>
      <c r="K24" s="152" t="s">
        <v>493</v>
      </c>
      <c r="L24" s="213">
        <v>1</v>
      </c>
      <c r="M24" s="152">
        <f>IF(ISBLANK('Hide - Calculation'!K18),"",'Hide - Calculation'!U18)</f>
        <v>0.3477984666824341</v>
      </c>
      <c r="N24" s="86"/>
      <c r="O24" s="87"/>
      <c r="P24" s="87"/>
      <c r="Q24" s="87"/>
      <c r="R24" s="84"/>
      <c r="S24" s="84"/>
      <c r="T24" s="84"/>
      <c r="U24" s="84"/>
      <c r="V24" s="84"/>
      <c r="W24" s="84"/>
      <c r="X24" s="84"/>
      <c r="Y24" s="84"/>
      <c r="Z24" s="88"/>
      <c r="AA24" s="152">
        <f>IF(ISBLANK('Hide - Calculation'!K18),"",'Hide - Calculation'!T18)</f>
        <v>0.9964890480041504</v>
      </c>
      <c r="AB24" s="234" t="s">
        <v>26</v>
      </c>
      <c r="AC24" s="131" t="s">
        <v>474</v>
      </c>
    </row>
    <row r="25" spans="2:29" s="63" customFormat="1" ht="33.75" customHeight="1">
      <c r="B25" s="306"/>
      <c r="C25" s="137">
        <v>13</v>
      </c>
      <c r="D25" s="147" t="s">
        <v>302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0.12135355892648775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474</v>
      </c>
    </row>
    <row r="26" spans="2:29" s="63" customFormat="1" ht="33.75" customHeight="1">
      <c r="B26" s="306"/>
      <c r="C26" s="137">
        <v>14</v>
      </c>
      <c r="D26" s="147" t="s">
        <v>444</v>
      </c>
      <c r="E26" s="85"/>
      <c r="F26" s="85"/>
      <c r="G26" s="121">
        <f>IF(VLOOKUP('Hide - Control'!A$3,'All practice data'!A:CA,C26+4,FALSE)=" "," ",VLOOKUP('Hide - Control'!A$3,'All practice data'!A:CA,C26+4,FALSE))</f>
        <v>17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0.37142857142857144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474</v>
      </c>
    </row>
    <row r="27" spans="2:29" s="63" customFormat="1" ht="33.75" customHeight="1">
      <c r="B27" s="306"/>
      <c r="C27" s="137">
        <v>15</v>
      </c>
      <c r="D27" s="147" t="s">
        <v>431</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407.64446865495484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587.4550170898438</v>
      </c>
      <c r="AB27" s="234" t="s">
        <v>26</v>
      </c>
      <c r="AC27" s="131" t="s">
        <v>474</v>
      </c>
    </row>
    <row r="28" spans="2:29" s="63" customFormat="1" ht="33.75" customHeight="1">
      <c r="B28" s="306"/>
      <c r="C28" s="137">
        <v>16</v>
      </c>
      <c r="D28" s="147" t="s">
        <v>432</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307.77611330518863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528.0433959960938</v>
      </c>
      <c r="AB28" s="234" t="s">
        <v>26</v>
      </c>
      <c r="AC28" s="131" t="s">
        <v>474</v>
      </c>
    </row>
    <row r="29" spans="2:29" s="63" customFormat="1" ht="33.75" customHeight="1">
      <c r="B29" s="306"/>
      <c r="C29" s="137">
        <v>17</v>
      </c>
      <c r="D29" s="147" t="s">
        <v>433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36.31576558173317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104.07632446289062</v>
      </c>
      <c r="AB29" s="234" t="s">
        <v>26</v>
      </c>
      <c r="AC29" s="131" t="s">
        <v>474</v>
      </c>
    </row>
    <row r="30" spans="2:29" s="63" customFormat="1" ht="33.75" customHeight="1" thickBot="1">
      <c r="B30" s="309"/>
      <c r="C30" s="180">
        <v>18</v>
      </c>
      <c r="D30" s="181" t="s">
        <v>434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248.76299423487222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354.70196533203125</v>
      </c>
      <c r="AB30" s="235" t="s">
        <v>26</v>
      </c>
      <c r="AC30" s="189" t="s">
        <v>474</v>
      </c>
    </row>
    <row r="31" spans="2:29" s="63" customFormat="1" ht="33.75" customHeight="1">
      <c r="B31" s="304" t="s">
        <v>304</v>
      </c>
      <c r="C31" s="163">
        <v>19</v>
      </c>
      <c r="D31" s="164" t="s">
        <v>308</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657.1741511500547</v>
      </c>
      <c r="I31" s="168">
        <f>IF(LEFT(G31,1)=" "," n/a",IF(G31&lt;5,100000*VLOOKUP(G31,'Hide - Calculation'!AQ:AR,2,FALSE)/$E$8,100000*(G31*(1-1/(9*G31)-1.96/(3*SQRT(G31)))^3)/$E$8))</f>
        <v>389.2802843256917</v>
      </c>
      <c r="J31" s="168">
        <f>IF(LEFT(G31,1)=" "," n/a",IF(G31&lt;5,100000*VLOOKUP(G31,'Hide - Calculation'!AQ:AS,3,FALSE)/$E$8,100000*((G31+1)*(1-1/(9*(G31+1))+1.96/(3*SQRT(G31+1)))^3)/$E$8))</f>
        <v>1038.6800065987416</v>
      </c>
      <c r="K31" s="167">
        <f>IF('Hide - Calculation'!N25="","",'Hide - Calculation'!N25)</f>
        <v>946.9335875436924</v>
      </c>
      <c r="L31" s="169">
        <f>'Hide - Calculation'!O25</f>
        <v>562.6134400960308</v>
      </c>
      <c r="M31" s="170">
        <f>IF(ISBLANK('Hide - Calculation'!K25),"",'Hide - Calculation'!U25)</f>
        <v>587.4550170898438</v>
      </c>
      <c r="N31" s="171"/>
      <c r="O31" s="172"/>
      <c r="P31" s="172"/>
      <c r="Q31" s="172"/>
      <c r="R31" s="173"/>
      <c r="S31" s="173"/>
      <c r="T31" s="173"/>
      <c r="U31" s="173"/>
      <c r="V31" s="173"/>
      <c r="W31" s="173"/>
      <c r="X31" s="173"/>
      <c r="Y31" s="173"/>
      <c r="Z31" s="174"/>
      <c r="AA31" s="170">
        <f>IF(ISBLANK('Hide - Calculation'!K25),"",'Hide - Calculation'!T25)</f>
        <v>1127.4439697265625</v>
      </c>
      <c r="AB31" s="233" t="s">
        <v>47</v>
      </c>
      <c r="AC31" s="175" t="s">
        <v>474</v>
      </c>
    </row>
    <row r="32" spans="2:29" s="63" customFormat="1" ht="33.75" customHeight="1">
      <c r="B32" s="305"/>
      <c r="C32" s="137">
        <v>20</v>
      </c>
      <c r="D32" s="132" t="s">
        <v>309</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128.01307367560943</v>
      </c>
      <c r="L32" s="156">
        <f>'Hide - Calculation'!O26</f>
        <v>405.57105879375996</v>
      </c>
      <c r="M32" s="148">
        <f>IF(ISBLANK('Hide - Calculation'!K26),"",'Hide - Calculation'!U26)</f>
        <v>109.64912414550781</v>
      </c>
      <c r="N32" s="86"/>
      <c r="O32" s="87"/>
      <c r="P32" s="87"/>
      <c r="Q32" s="87"/>
      <c r="R32" s="84"/>
      <c r="S32" s="84"/>
      <c r="T32" s="84"/>
      <c r="U32" s="84"/>
      <c r="V32" s="84"/>
      <c r="W32" s="84"/>
      <c r="X32" s="84"/>
      <c r="Y32" s="84"/>
      <c r="Z32" s="88"/>
      <c r="AA32" s="148">
        <f>IF(ISBLANK('Hide - Calculation'!K26),"",'Hide - Calculation'!T26)</f>
        <v>175.97372436523438</v>
      </c>
      <c r="AB32" s="234" t="s">
        <v>47</v>
      </c>
      <c r="AC32" s="131" t="s">
        <v>474</v>
      </c>
    </row>
    <row r="33" spans="2:29" s="63" customFormat="1" ht="33.75" customHeight="1">
      <c r="B33" s="305"/>
      <c r="C33" s="137">
        <v>21</v>
      </c>
      <c r="D33" s="132" t="s">
        <v>311</v>
      </c>
      <c r="E33" s="85"/>
      <c r="F33" s="85"/>
      <c r="G33" s="121">
        <f>IF(VLOOKUP('Hide - Control'!A$3,'All practice data'!A:CA,C33+4,FALSE)=" "," ",VLOOKUP('Hide - Control'!A$3,'All practice data'!A:CA,C33+4,FALSE))</f>
        <v>32</v>
      </c>
      <c r="H33" s="122">
        <f>IF(VLOOKUP('Hide - Control'!A$3,'All practice data'!A:CA,C33+30,FALSE)=" "," ",VLOOKUP('Hide - Control'!A$3,'All practice data'!A:CA,C33+30,FALSE))</f>
        <v>1168.3096020445419</v>
      </c>
      <c r="I33" s="123">
        <f>IF(LEFT(G33,1)=" "," n/a",IF(G33&lt;5,100000*VLOOKUP(G33,'Hide - Calculation'!AQ:AR,2,FALSE)/$E$8,100000*(G33*(1-1/(9*G33)-1.96/(3*SQRT(G33)))^3)/$E$8))</f>
        <v>798.9791829979999</v>
      </c>
      <c r="J33" s="123">
        <f>IF(LEFT(G33,1)=" "," n/a",IF(G33&lt;5,100000*VLOOKUP(G33,'Hide - Calculation'!AQ:AS,3,FALSE)/$E$8,100000*((G33+1)*(1-1/(9*(G33+1))+1.96/(3*SQRT(G33+1)))^3)/$E$8))</f>
        <v>1649.368557439102</v>
      </c>
      <c r="K33" s="122">
        <f>IF('Hide - Calculation'!N27="","",'Hide - Calculation'!N27)</f>
        <v>1217.4860411276045</v>
      </c>
      <c r="L33" s="156">
        <f>'Hide - Calculation'!O27</f>
        <v>1059.3522061277838</v>
      </c>
      <c r="M33" s="148">
        <f>IF(ISBLANK('Hide - Calculation'!K27),"",'Hide - Calculation'!U27)</f>
        <v>776.9566040039062</v>
      </c>
      <c r="N33" s="86"/>
      <c r="O33" s="87"/>
      <c r="P33" s="87"/>
      <c r="Q33" s="87"/>
      <c r="R33" s="84"/>
      <c r="S33" s="84"/>
      <c r="T33" s="84"/>
      <c r="U33" s="84"/>
      <c r="V33" s="84"/>
      <c r="W33" s="84"/>
      <c r="X33" s="84"/>
      <c r="Y33" s="84"/>
      <c r="Z33" s="88"/>
      <c r="AA33" s="148">
        <f>IF(ISBLANK('Hide - Calculation'!K27),"",'Hide - Calculation'!T27)</f>
        <v>1393.2459716796875</v>
      </c>
      <c r="AB33" s="234" t="s">
        <v>47</v>
      </c>
      <c r="AC33" s="131" t="s">
        <v>474</v>
      </c>
    </row>
    <row r="34" spans="2:29" s="63" customFormat="1" ht="33.75" customHeight="1">
      <c r="B34" s="305"/>
      <c r="C34" s="137">
        <v>22</v>
      </c>
      <c r="D34" s="132" t="s">
        <v>310</v>
      </c>
      <c r="E34" s="85"/>
      <c r="F34" s="85"/>
      <c r="G34" s="118">
        <f>IF(VLOOKUP('Hide - Control'!A$3,'All practice data'!A:CA,C34+4,FALSE)=" "," ",VLOOKUP('Hide - Control'!A$3,'All practice data'!A:CA,C34+4,FALSE))</f>
        <v>28</v>
      </c>
      <c r="H34" s="122">
        <f>IF(VLOOKUP('Hide - Control'!A$3,'All practice data'!A:CA,C34+30,FALSE)=" "," ",VLOOKUP('Hide - Control'!A$3,'All practice data'!A:CA,C34+30,FALSE))</f>
        <v>1022.2709017889741</v>
      </c>
      <c r="I34" s="123">
        <f>IF(LEFT(G34,1)=" "," n/a",IF(G34&lt;5,100000*VLOOKUP(G34,'Hide - Calculation'!AQ:AR,2,FALSE)/$E$8,100000*(G34*(1-1/(9*G34)-1.96/(3*SQRT(G34)))^3)/$E$8))</f>
        <v>679.1362368587796</v>
      </c>
      <c r="J34" s="123">
        <f>IF(LEFT(G34,1)=" "," n/a",IF(G34&lt;5,100000*VLOOKUP(G34,'Hide - Calculation'!AQ:AS,3,FALSE)/$E$8,100000*((G34+1)*(1-1/(9*(G34+1))+1.96/(3*SQRT(G34+1)))^3)/$E$8))</f>
        <v>1477.530184556995</v>
      </c>
      <c r="K34" s="122">
        <f>IF('Hide - Calculation'!N28="","",'Hide - Calculation'!N28)</f>
        <v>673.6574515411503</v>
      </c>
      <c r="L34" s="156">
        <f>'Hide - Calculation'!O28</f>
        <v>582.9390489900089</v>
      </c>
      <c r="M34" s="148">
        <f>IF(ISBLANK('Hide - Calculation'!K28),"",'Hide - Calculation'!U28)</f>
        <v>552.026611328125</v>
      </c>
      <c r="N34" s="86"/>
      <c r="O34" s="87"/>
      <c r="P34" s="87"/>
      <c r="Q34" s="87"/>
      <c r="R34" s="84"/>
      <c r="S34" s="84"/>
      <c r="T34" s="84"/>
      <c r="U34" s="84"/>
      <c r="V34" s="84"/>
      <c r="W34" s="84"/>
      <c r="X34" s="84"/>
      <c r="Y34" s="84"/>
      <c r="Z34" s="88"/>
      <c r="AA34" s="148">
        <f>IF(ISBLANK('Hide - Calculation'!K28),"",'Hide - Calculation'!T28)</f>
        <v>1022.2708740234375</v>
      </c>
      <c r="AB34" s="234" t="s">
        <v>47</v>
      </c>
      <c r="AC34" s="131" t="s">
        <v>474</v>
      </c>
    </row>
    <row r="35" spans="2:29" s="63" customFormat="1" ht="33.75" customHeight="1">
      <c r="B35" s="305"/>
      <c r="C35" s="137">
        <v>23</v>
      </c>
      <c r="D35" s="138" t="s">
        <v>435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296</v>
      </c>
      <c r="AC35" s="131">
        <v>2008</v>
      </c>
    </row>
    <row r="36" spans="2:29" ht="33.75" customHeight="1">
      <c r="B36" s="306"/>
      <c r="C36" s="137">
        <v>24</v>
      </c>
      <c r="D36" s="224" t="s">
        <v>436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296</v>
      </c>
      <c r="AC36" s="131">
        <v>2008</v>
      </c>
    </row>
    <row r="37" spans="2:29" ht="33.75" customHeight="1" thickBot="1">
      <c r="B37" s="307"/>
      <c r="C37" s="176">
        <v>25</v>
      </c>
      <c r="D37" s="177" t="s">
        <v>312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296</v>
      </c>
      <c r="AC37" s="149">
        <v>2008</v>
      </c>
    </row>
    <row r="38" spans="2:29" ht="16.5" customHeight="1">
      <c r="B38" s="69"/>
      <c r="C38" s="69"/>
      <c r="D38" s="65" t="s">
        <v>294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492</v>
      </c>
      <c r="C39" s="244"/>
      <c r="D39" s="244"/>
      <c r="E39" s="303" t="s">
        <v>496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460</v>
      </c>
      <c r="BE2" s="341"/>
      <c r="BF2" s="341"/>
      <c r="BG2" s="341"/>
      <c r="BH2" s="341"/>
      <c r="BI2" s="341"/>
      <c r="BJ2" s="342"/>
    </row>
    <row r="3" spans="1:82" s="72" customFormat="1" ht="76.5" customHeight="1">
      <c r="A3" s="266" t="s">
        <v>276</v>
      </c>
      <c r="B3" s="275" t="s">
        <v>277</v>
      </c>
      <c r="C3" s="276" t="s">
        <v>49</v>
      </c>
      <c r="D3" s="274" t="s">
        <v>445</v>
      </c>
      <c r="E3" s="267" t="s">
        <v>317</v>
      </c>
      <c r="F3" s="267" t="s">
        <v>428</v>
      </c>
      <c r="G3" s="267" t="s">
        <v>319</v>
      </c>
      <c r="H3" s="267" t="s">
        <v>320</v>
      </c>
      <c r="I3" s="267" t="s">
        <v>321</v>
      </c>
      <c r="J3" s="267" t="s">
        <v>469</v>
      </c>
      <c r="K3" s="267" t="s">
        <v>470</v>
      </c>
      <c r="L3" s="267" t="s">
        <v>471</v>
      </c>
      <c r="M3" s="267" t="s">
        <v>322</v>
      </c>
      <c r="N3" s="267" t="s">
        <v>323</v>
      </c>
      <c r="O3" s="267" t="s">
        <v>324</v>
      </c>
      <c r="P3" s="267" t="s">
        <v>459</v>
      </c>
      <c r="Q3" s="267" t="s">
        <v>325</v>
      </c>
      <c r="R3" s="267" t="s">
        <v>326</v>
      </c>
      <c r="S3" s="267" t="s">
        <v>327</v>
      </c>
      <c r="T3" s="267" t="s">
        <v>328</v>
      </c>
      <c r="U3" s="267" t="s">
        <v>329</v>
      </c>
      <c r="V3" s="267" t="s">
        <v>330</v>
      </c>
      <c r="W3" s="267" t="s">
        <v>331</v>
      </c>
      <c r="X3" s="267" t="s">
        <v>332</v>
      </c>
      <c r="Y3" s="267" t="s">
        <v>333</v>
      </c>
      <c r="Z3" s="267" t="s">
        <v>334</v>
      </c>
      <c r="AA3" s="267" t="s">
        <v>335</v>
      </c>
      <c r="AB3" s="267" t="s">
        <v>336</v>
      </c>
      <c r="AC3" s="267" t="s">
        <v>337</v>
      </c>
      <c r="AD3" s="268" t="s">
        <v>338</v>
      </c>
      <c r="AE3" s="268" t="s">
        <v>317</v>
      </c>
      <c r="AF3" s="269" t="s">
        <v>318</v>
      </c>
      <c r="AG3" s="268" t="s">
        <v>319</v>
      </c>
      <c r="AH3" s="268" t="s">
        <v>320</v>
      </c>
      <c r="AI3" s="268" t="s">
        <v>321</v>
      </c>
      <c r="AJ3" s="268" t="s">
        <v>469</v>
      </c>
      <c r="AK3" s="268" t="s">
        <v>470</v>
      </c>
      <c r="AL3" s="268" t="s">
        <v>471</v>
      </c>
      <c r="AM3" s="268" t="s">
        <v>322</v>
      </c>
      <c r="AN3" s="268" t="s">
        <v>323</v>
      </c>
      <c r="AO3" s="268" t="s">
        <v>324</v>
      </c>
      <c r="AP3" s="268" t="s">
        <v>459</v>
      </c>
      <c r="AQ3" s="268" t="s">
        <v>325</v>
      </c>
      <c r="AR3" s="268" t="s">
        <v>326</v>
      </c>
      <c r="AS3" s="268" t="s">
        <v>327</v>
      </c>
      <c r="AT3" s="268" t="s">
        <v>328</v>
      </c>
      <c r="AU3" s="268" t="s">
        <v>329</v>
      </c>
      <c r="AV3" s="268" t="s">
        <v>330</v>
      </c>
      <c r="AW3" s="268" t="s">
        <v>331</v>
      </c>
      <c r="AX3" s="268" t="s">
        <v>332</v>
      </c>
      <c r="AY3" s="270" t="s">
        <v>333</v>
      </c>
      <c r="AZ3" s="271" t="s">
        <v>334</v>
      </c>
      <c r="BA3" s="271" t="s">
        <v>335</v>
      </c>
      <c r="BB3" s="271" t="s">
        <v>336</v>
      </c>
      <c r="BC3" s="272" t="s">
        <v>337</v>
      </c>
      <c r="BD3" s="273" t="s">
        <v>457</v>
      </c>
      <c r="BE3" s="273" t="s">
        <v>458</v>
      </c>
      <c r="BF3" s="273" t="s">
        <v>465</v>
      </c>
      <c r="BG3" s="273" t="s">
        <v>466</v>
      </c>
      <c r="BH3" s="273" t="s">
        <v>464</v>
      </c>
      <c r="BI3" s="273" t="s">
        <v>467</v>
      </c>
      <c r="BJ3" s="273" t="s">
        <v>468</v>
      </c>
      <c r="BK3" s="73"/>
      <c r="BL3" s="73"/>
      <c r="BM3" s="73"/>
      <c r="BN3" s="73"/>
      <c r="BO3" s="73"/>
      <c r="BP3" s="73"/>
      <c r="BQ3" s="73"/>
      <c r="BR3" s="73"/>
      <c r="BS3" s="73"/>
      <c r="BT3" s="73"/>
      <c r="BU3" s="73"/>
      <c r="BV3" s="73"/>
      <c r="BW3" s="73"/>
      <c r="BX3" s="73"/>
      <c r="BY3" s="73"/>
      <c r="BZ3" s="73"/>
      <c r="CA3" s="73"/>
      <c r="CB3" s="73"/>
      <c r="CC3" s="73"/>
      <c r="CD3" s="73"/>
    </row>
    <row r="4" spans="1:66" ht="12.75">
      <c r="A4" s="79" t="s">
        <v>484</v>
      </c>
      <c r="B4" s="79" t="s">
        <v>289</v>
      </c>
      <c r="C4" s="79" t="s">
        <v>90</v>
      </c>
      <c r="D4" s="99">
        <v>2739</v>
      </c>
      <c r="E4" s="99">
        <v>569</v>
      </c>
      <c r="F4" s="99" t="s">
        <v>315</v>
      </c>
      <c r="G4" s="99">
        <v>20</v>
      </c>
      <c r="H4" s="99">
        <v>14</v>
      </c>
      <c r="I4" s="99">
        <v>43</v>
      </c>
      <c r="J4" s="99">
        <v>353</v>
      </c>
      <c r="K4" s="99">
        <v>116</v>
      </c>
      <c r="L4" s="99">
        <v>528</v>
      </c>
      <c r="M4" s="99">
        <v>263</v>
      </c>
      <c r="N4" s="99">
        <v>63</v>
      </c>
      <c r="O4" s="99">
        <v>21</v>
      </c>
      <c r="P4" s="159">
        <v>21</v>
      </c>
      <c r="Q4" s="99" t="s">
        <v>495</v>
      </c>
      <c r="R4" s="99">
        <v>17</v>
      </c>
      <c r="S4" s="99" t="s">
        <v>495</v>
      </c>
      <c r="T4" s="99" t="s">
        <v>495</v>
      </c>
      <c r="U4" s="99" t="s">
        <v>495</v>
      </c>
      <c r="V4" s="99" t="s">
        <v>495</v>
      </c>
      <c r="W4" s="99">
        <v>18</v>
      </c>
      <c r="X4" s="99" t="s">
        <v>495</v>
      </c>
      <c r="Y4" s="99">
        <v>32</v>
      </c>
      <c r="Z4" s="99">
        <v>28</v>
      </c>
      <c r="AA4" s="99" t="s">
        <v>495</v>
      </c>
      <c r="AB4" s="99" t="s">
        <v>495</v>
      </c>
      <c r="AC4" s="99" t="s">
        <v>495</v>
      </c>
      <c r="AD4" s="98" t="s">
        <v>294</v>
      </c>
      <c r="AE4" s="100">
        <v>0.2077400511135451</v>
      </c>
      <c r="AF4" s="100">
        <v>0.09</v>
      </c>
      <c r="AG4" s="98">
        <v>730.1935012778387</v>
      </c>
      <c r="AH4" s="98">
        <v>511.13545089448706</v>
      </c>
      <c r="AI4" s="100">
        <v>0.016</v>
      </c>
      <c r="AJ4" s="100">
        <v>0.789709</v>
      </c>
      <c r="AK4" s="100">
        <v>0.805556</v>
      </c>
      <c r="AL4" s="100">
        <v>0.797583</v>
      </c>
      <c r="AM4" s="100">
        <v>0.589686</v>
      </c>
      <c r="AN4" s="100">
        <v>0.677419</v>
      </c>
      <c r="AO4" s="98">
        <v>766.7031763417306</v>
      </c>
      <c r="AP4" s="158">
        <v>0.3477984619</v>
      </c>
      <c r="AQ4" s="100" t="s">
        <v>495</v>
      </c>
      <c r="AR4" s="100" t="s">
        <v>495</v>
      </c>
      <c r="AS4" s="98" t="s">
        <v>495</v>
      </c>
      <c r="AT4" s="98" t="s">
        <v>495</v>
      </c>
      <c r="AU4" s="98" t="s">
        <v>495</v>
      </c>
      <c r="AV4" s="98" t="s">
        <v>495</v>
      </c>
      <c r="AW4" s="98">
        <v>657.1741511500547</v>
      </c>
      <c r="AX4" s="98" t="s">
        <v>495</v>
      </c>
      <c r="AY4" s="98">
        <v>1168.3096020445419</v>
      </c>
      <c r="AZ4" s="98">
        <v>1022.2709017889741</v>
      </c>
      <c r="BA4" s="101" t="s">
        <v>495</v>
      </c>
      <c r="BB4" s="101" t="s">
        <v>495</v>
      </c>
      <c r="BC4" s="101" t="s">
        <v>495</v>
      </c>
      <c r="BD4" s="158">
        <v>0.21529272079999998</v>
      </c>
      <c r="BE4" s="158">
        <v>0.5316468811</v>
      </c>
      <c r="BF4" s="162">
        <v>447</v>
      </c>
      <c r="BG4" s="162">
        <v>144</v>
      </c>
      <c r="BH4" s="162">
        <v>662</v>
      </c>
      <c r="BI4" s="162">
        <v>446</v>
      </c>
      <c r="BJ4" s="162">
        <v>93</v>
      </c>
      <c r="BK4" s="97"/>
      <c r="BL4" s="97"/>
      <c r="BM4" s="97"/>
      <c r="BN4" s="97"/>
    </row>
    <row r="5" spans="1:66" ht="12.75">
      <c r="A5" s="79" t="s">
        <v>479</v>
      </c>
      <c r="B5" s="79" t="s">
        <v>284</v>
      </c>
      <c r="C5" s="79" t="s">
        <v>90</v>
      </c>
      <c r="D5" s="99">
        <v>7007</v>
      </c>
      <c r="E5" s="99">
        <v>1400</v>
      </c>
      <c r="F5" s="99" t="s">
        <v>315</v>
      </c>
      <c r="G5" s="99">
        <v>56</v>
      </c>
      <c r="H5" s="99">
        <v>18</v>
      </c>
      <c r="I5" s="99">
        <v>153</v>
      </c>
      <c r="J5" s="99">
        <v>787</v>
      </c>
      <c r="K5" s="99">
        <v>9</v>
      </c>
      <c r="L5" s="99">
        <v>1416</v>
      </c>
      <c r="M5" s="99">
        <v>609</v>
      </c>
      <c r="N5" s="99">
        <v>151</v>
      </c>
      <c r="O5" s="99">
        <v>135</v>
      </c>
      <c r="P5" s="159">
        <v>135</v>
      </c>
      <c r="Q5" s="99">
        <v>16</v>
      </c>
      <c r="R5" s="99">
        <v>37</v>
      </c>
      <c r="S5" s="99">
        <v>28</v>
      </c>
      <c r="T5" s="99">
        <v>37</v>
      </c>
      <c r="U5" s="99" t="s">
        <v>495</v>
      </c>
      <c r="V5" s="99">
        <v>19</v>
      </c>
      <c r="W5" s="99">
        <v>79</v>
      </c>
      <c r="X5" s="99">
        <v>12</v>
      </c>
      <c r="Y5" s="99">
        <v>97</v>
      </c>
      <c r="Z5" s="99">
        <v>43</v>
      </c>
      <c r="AA5" s="99" t="s">
        <v>495</v>
      </c>
      <c r="AB5" s="99" t="s">
        <v>495</v>
      </c>
      <c r="AC5" s="99" t="s">
        <v>495</v>
      </c>
      <c r="AD5" s="98" t="s">
        <v>294</v>
      </c>
      <c r="AE5" s="100">
        <v>0.1998001998001998</v>
      </c>
      <c r="AF5" s="100">
        <v>0.12</v>
      </c>
      <c r="AG5" s="98">
        <v>799.2007992007992</v>
      </c>
      <c r="AH5" s="98">
        <v>256.88597117168547</v>
      </c>
      <c r="AI5" s="100">
        <v>0.022000000000000002</v>
      </c>
      <c r="AJ5" s="100">
        <v>0.719378</v>
      </c>
      <c r="AK5" s="100">
        <v>0.9</v>
      </c>
      <c r="AL5" s="100">
        <v>0.824214</v>
      </c>
      <c r="AM5" s="100">
        <v>0.587271</v>
      </c>
      <c r="AN5" s="100">
        <v>0.596838</v>
      </c>
      <c r="AO5" s="98">
        <v>1926.644783787641</v>
      </c>
      <c r="AP5" s="158">
        <v>0.9246537781</v>
      </c>
      <c r="AQ5" s="100">
        <v>0.11851851851851852</v>
      </c>
      <c r="AR5" s="100">
        <v>0.43243243243243246</v>
      </c>
      <c r="AS5" s="98">
        <v>399.6003996003996</v>
      </c>
      <c r="AT5" s="98">
        <v>528.0433851862423</v>
      </c>
      <c r="AU5" s="98" t="s">
        <v>495</v>
      </c>
      <c r="AV5" s="98">
        <v>271.1574140145569</v>
      </c>
      <c r="AW5" s="98">
        <v>1127.4439845868417</v>
      </c>
      <c r="AX5" s="98">
        <v>171.25731411445696</v>
      </c>
      <c r="AY5" s="98">
        <v>1384.3299557585271</v>
      </c>
      <c r="AZ5" s="98">
        <v>613.6720422434709</v>
      </c>
      <c r="BA5" s="100" t="s">
        <v>495</v>
      </c>
      <c r="BB5" s="100" t="s">
        <v>495</v>
      </c>
      <c r="BC5" s="100" t="s">
        <v>495</v>
      </c>
      <c r="BD5" s="158">
        <v>0.7752619171</v>
      </c>
      <c r="BE5" s="158">
        <v>1.094439621</v>
      </c>
      <c r="BF5" s="162">
        <v>1094</v>
      </c>
      <c r="BG5" s="162">
        <v>10</v>
      </c>
      <c r="BH5" s="162">
        <v>1718</v>
      </c>
      <c r="BI5" s="162">
        <v>1037</v>
      </c>
      <c r="BJ5" s="162">
        <v>253</v>
      </c>
      <c r="BK5" s="97"/>
      <c r="BL5" s="97"/>
      <c r="BM5" s="97"/>
      <c r="BN5" s="97"/>
    </row>
    <row r="6" spans="1:66" ht="12.75">
      <c r="A6" s="79" t="s">
        <v>481</v>
      </c>
      <c r="B6" s="79" t="s">
        <v>286</v>
      </c>
      <c r="C6" s="79" t="s">
        <v>90</v>
      </c>
      <c r="D6" s="99">
        <v>11559</v>
      </c>
      <c r="E6" s="99">
        <v>2568</v>
      </c>
      <c r="F6" s="99" t="s">
        <v>315</v>
      </c>
      <c r="G6" s="99">
        <v>69</v>
      </c>
      <c r="H6" s="99">
        <v>46</v>
      </c>
      <c r="I6" s="99">
        <v>236</v>
      </c>
      <c r="J6" s="99">
        <v>1306</v>
      </c>
      <c r="K6" s="99">
        <v>17</v>
      </c>
      <c r="L6" s="99">
        <v>2195</v>
      </c>
      <c r="M6" s="99">
        <v>942</v>
      </c>
      <c r="N6" s="99">
        <v>250</v>
      </c>
      <c r="O6" s="99">
        <v>200</v>
      </c>
      <c r="P6" s="159">
        <v>200</v>
      </c>
      <c r="Q6" s="99">
        <v>19</v>
      </c>
      <c r="R6" s="99">
        <v>53</v>
      </c>
      <c r="S6" s="99">
        <v>26</v>
      </c>
      <c r="T6" s="99">
        <v>49</v>
      </c>
      <c r="U6" s="99" t="s">
        <v>495</v>
      </c>
      <c r="V6" s="99">
        <v>41</v>
      </c>
      <c r="W6" s="99">
        <v>126</v>
      </c>
      <c r="X6" s="99">
        <v>18</v>
      </c>
      <c r="Y6" s="99">
        <v>156</v>
      </c>
      <c r="Z6" s="99">
        <v>83</v>
      </c>
      <c r="AA6" s="99" t="s">
        <v>495</v>
      </c>
      <c r="AB6" s="99" t="s">
        <v>495</v>
      </c>
      <c r="AC6" s="99" t="s">
        <v>495</v>
      </c>
      <c r="AD6" s="98" t="s">
        <v>294</v>
      </c>
      <c r="AE6" s="100">
        <v>0.22216454710615105</v>
      </c>
      <c r="AF6" s="100">
        <v>0.12</v>
      </c>
      <c r="AG6" s="98">
        <v>596.9374513366208</v>
      </c>
      <c r="AH6" s="98">
        <v>397.95830089108057</v>
      </c>
      <c r="AI6" s="100">
        <v>0.02</v>
      </c>
      <c r="AJ6" s="100">
        <v>0.770501</v>
      </c>
      <c r="AK6" s="100">
        <v>0.772727</v>
      </c>
      <c r="AL6" s="100">
        <v>0.798182</v>
      </c>
      <c r="AM6" s="100">
        <v>0.598856</v>
      </c>
      <c r="AN6" s="100">
        <v>0.65445</v>
      </c>
      <c r="AO6" s="98">
        <v>1730.2534821351328</v>
      </c>
      <c r="AP6" s="158">
        <v>0.7884557343</v>
      </c>
      <c r="AQ6" s="100">
        <v>0.095</v>
      </c>
      <c r="AR6" s="100">
        <v>0.3584905660377358</v>
      </c>
      <c r="AS6" s="98">
        <v>224.93295267756727</v>
      </c>
      <c r="AT6" s="98">
        <v>423.91210312310756</v>
      </c>
      <c r="AU6" s="98" t="s">
        <v>495</v>
      </c>
      <c r="AV6" s="98">
        <v>354.70196383770224</v>
      </c>
      <c r="AW6" s="98">
        <v>1090.0596937451337</v>
      </c>
      <c r="AX6" s="98">
        <v>155.72281339216195</v>
      </c>
      <c r="AY6" s="98">
        <v>1349.5977160654036</v>
      </c>
      <c r="AZ6" s="98">
        <v>718.0551950860801</v>
      </c>
      <c r="BA6" s="100" t="s">
        <v>495</v>
      </c>
      <c r="BB6" s="100" t="s">
        <v>495</v>
      </c>
      <c r="BC6" s="100" t="s">
        <v>495</v>
      </c>
      <c r="BD6" s="158">
        <v>0.6829638672</v>
      </c>
      <c r="BE6" s="158">
        <v>0.9056280518</v>
      </c>
      <c r="BF6" s="162">
        <v>1695</v>
      </c>
      <c r="BG6" s="162">
        <v>22</v>
      </c>
      <c r="BH6" s="162">
        <v>2750</v>
      </c>
      <c r="BI6" s="162">
        <v>1573</v>
      </c>
      <c r="BJ6" s="162">
        <v>382</v>
      </c>
      <c r="BK6" s="97"/>
      <c r="BL6" s="97"/>
      <c r="BM6" s="97"/>
      <c r="BN6" s="97"/>
    </row>
    <row r="7" spans="1:66" ht="12.75">
      <c r="A7" s="79" t="s">
        <v>487</v>
      </c>
      <c r="B7" s="79" t="s">
        <v>292</v>
      </c>
      <c r="C7" s="79" t="s">
        <v>90</v>
      </c>
      <c r="D7" s="99">
        <v>2065</v>
      </c>
      <c r="E7" s="99">
        <v>407</v>
      </c>
      <c r="F7" s="99" t="s">
        <v>314</v>
      </c>
      <c r="G7" s="99">
        <v>15</v>
      </c>
      <c r="H7" s="99" t="s">
        <v>495</v>
      </c>
      <c r="I7" s="99">
        <v>12</v>
      </c>
      <c r="J7" s="99">
        <v>189</v>
      </c>
      <c r="K7" s="99">
        <v>11</v>
      </c>
      <c r="L7" s="99">
        <v>305</v>
      </c>
      <c r="M7" s="99">
        <v>128</v>
      </c>
      <c r="N7" s="99">
        <v>27</v>
      </c>
      <c r="O7" s="99">
        <v>18</v>
      </c>
      <c r="P7" s="159">
        <v>18</v>
      </c>
      <c r="Q7" s="99">
        <v>6</v>
      </c>
      <c r="R7" s="99">
        <v>11</v>
      </c>
      <c r="S7" s="99" t="s">
        <v>495</v>
      </c>
      <c r="T7" s="99" t="s">
        <v>495</v>
      </c>
      <c r="U7" s="99" t="s">
        <v>495</v>
      </c>
      <c r="V7" s="99" t="s">
        <v>495</v>
      </c>
      <c r="W7" s="99">
        <v>19</v>
      </c>
      <c r="X7" s="99" t="s">
        <v>495</v>
      </c>
      <c r="Y7" s="99">
        <v>28</v>
      </c>
      <c r="Z7" s="99">
        <v>12</v>
      </c>
      <c r="AA7" s="99" t="s">
        <v>495</v>
      </c>
      <c r="AB7" s="99" t="s">
        <v>495</v>
      </c>
      <c r="AC7" s="99" t="s">
        <v>495</v>
      </c>
      <c r="AD7" s="98" t="s">
        <v>294</v>
      </c>
      <c r="AE7" s="100">
        <v>0.19709443099273607</v>
      </c>
      <c r="AF7" s="100">
        <v>0.18</v>
      </c>
      <c r="AG7" s="98">
        <v>726.3922518159807</v>
      </c>
      <c r="AH7" s="98" t="s">
        <v>495</v>
      </c>
      <c r="AI7" s="100">
        <v>0.006</v>
      </c>
      <c r="AJ7" s="100">
        <v>0.800847</v>
      </c>
      <c r="AK7" s="100">
        <v>0.916667</v>
      </c>
      <c r="AL7" s="100">
        <v>0.729665</v>
      </c>
      <c r="AM7" s="100">
        <v>0.501961</v>
      </c>
      <c r="AN7" s="100">
        <v>0.509434</v>
      </c>
      <c r="AO7" s="98">
        <v>871.6707021791767</v>
      </c>
      <c r="AP7" s="158">
        <v>0.4511706543</v>
      </c>
      <c r="AQ7" s="100">
        <v>0.3333333333333333</v>
      </c>
      <c r="AR7" s="100">
        <v>0.5454545454545454</v>
      </c>
      <c r="AS7" s="98" t="s">
        <v>495</v>
      </c>
      <c r="AT7" s="98" t="s">
        <v>495</v>
      </c>
      <c r="AU7" s="98" t="s">
        <v>495</v>
      </c>
      <c r="AV7" s="98" t="s">
        <v>495</v>
      </c>
      <c r="AW7" s="98">
        <v>920.0968523002422</v>
      </c>
      <c r="AX7" s="98" t="s">
        <v>495</v>
      </c>
      <c r="AY7" s="98">
        <v>1355.9322033898304</v>
      </c>
      <c r="AZ7" s="98">
        <v>581.1138014527845</v>
      </c>
      <c r="BA7" s="100" t="s">
        <v>495</v>
      </c>
      <c r="BB7" s="100" t="s">
        <v>495</v>
      </c>
      <c r="BC7" s="100" t="s">
        <v>495</v>
      </c>
      <c r="BD7" s="158">
        <v>0.26739233020000003</v>
      </c>
      <c r="BE7" s="158">
        <v>0.7130442047</v>
      </c>
      <c r="BF7" s="162">
        <v>236</v>
      </c>
      <c r="BG7" s="162">
        <v>12</v>
      </c>
      <c r="BH7" s="162">
        <v>418</v>
      </c>
      <c r="BI7" s="162">
        <v>255</v>
      </c>
      <c r="BJ7" s="162">
        <v>53</v>
      </c>
      <c r="BK7" s="97"/>
      <c r="BL7" s="97"/>
      <c r="BM7" s="97"/>
      <c r="BN7" s="97"/>
    </row>
    <row r="8" spans="1:66" ht="12.75">
      <c r="A8" s="79" t="s">
        <v>477</v>
      </c>
      <c r="B8" s="79" t="s">
        <v>282</v>
      </c>
      <c r="C8" s="79" t="s">
        <v>90</v>
      </c>
      <c r="D8" s="99">
        <v>26448</v>
      </c>
      <c r="E8" s="99">
        <v>4305</v>
      </c>
      <c r="F8" s="99" t="s">
        <v>316</v>
      </c>
      <c r="G8" s="99">
        <v>114</v>
      </c>
      <c r="H8" s="99">
        <v>70</v>
      </c>
      <c r="I8" s="99">
        <v>376</v>
      </c>
      <c r="J8" s="99">
        <v>2482</v>
      </c>
      <c r="K8" s="99">
        <v>2201</v>
      </c>
      <c r="L8" s="99">
        <v>5347</v>
      </c>
      <c r="M8" s="99">
        <v>1687</v>
      </c>
      <c r="N8" s="99">
        <v>389</v>
      </c>
      <c r="O8" s="99">
        <v>409</v>
      </c>
      <c r="P8" s="159">
        <v>409</v>
      </c>
      <c r="Q8" s="99">
        <v>52</v>
      </c>
      <c r="R8" s="99">
        <v>132</v>
      </c>
      <c r="S8" s="99">
        <v>110</v>
      </c>
      <c r="T8" s="99">
        <v>70</v>
      </c>
      <c r="U8" s="99">
        <v>11</v>
      </c>
      <c r="V8" s="99">
        <v>76</v>
      </c>
      <c r="W8" s="99">
        <v>232</v>
      </c>
      <c r="X8" s="99">
        <v>29</v>
      </c>
      <c r="Y8" s="99">
        <v>297</v>
      </c>
      <c r="Z8" s="99">
        <v>146</v>
      </c>
      <c r="AA8" s="99" t="s">
        <v>495</v>
      </c>
      <c r="AB8" s="99" t="s">
        <v>495</v>
      </c>
      <c r="AC8" s="99" t="s">
        <v>495</v>
      </c>
      <c r="AD8" s="98" t="s">
        <v>294</v>
      </c>
      <c r="AE8" s="100">
        <v>0.16277223230490018</v>
      </c>
      <c r="AF8" s="100">
        <v>0.15</v>
      </c>
      <c r="AG8" s="98">
        <v>431.0344827586207</v>
      </c>
      <c r="AH8" s="98">
        <v>264.670296430732</v>
      </c>
      <c r="AI8" s="100">
        <v>0.013999999999999999</v>
      </c>
      <c r="AJ8" s="100">
        <v>0.746017</v>
      </c>
      <c r="AK8" s="100">
        <v>0.735137</v>
      </c>
      <c r="AL8" s="100">
        <v>0.838351</v>
      </c>
      <c r="AM8" s="100">
        <v>0.567631</v>
      </c>
      <c r="AN8" s="100">
        <v>0.586727</v>
      </c>
      <c r="AO8" s="98">
        <v>1546.4307320024197</v>
      </c>
      <c r="AP8" s="158">
        <v>0.8317004394999999</v>
      </c>
      <c r="AQ8" s="100">
        <v>0.1271393643031785</v>
      </c>
      <c r="AR8" s="100">
        <v>0.3939393939393939</v>
      </c>
      <c r="AS8" s="98">
        <v>415.9104658197217</v>
      </c>
      <c r="AT8" s="98">
        <v>264.670296430732</v>
      </c>
      <c r="AU8" s="98">
        <v>41.59104658197217</v>
      </c>
      <c r="AV8" s="98">
        <v>287.35632183908046</v>
      </c>
      <c r="AW8" s="98">
        <v>877.1929824561404</v>
      </c>
      <c r="AX8" s="98">
        <v>109.64912280701755</v>
      </c>
      <c r="AY8" s="98">
        <v>1122.9582577132487</v>
      </c>
      <c r="AZ8" s="98">
        <v>552.0266182698125</v>
      </c>
      <c r="BA8" s="100" t="s">
        <v>495</v>
      </c>
      <c r="BB8" s="100" t="s">
        <v>495</v>
      </c>
      <c r="BC8" s="100" t="s">
        <v>495</v>
      </c>
      <c r="BD8" s="158">
        <v>0.7530382538000001</v>
      </c>
      <c r="BE8" s="158">
        <v>0.9163455963</v>
      </c>
      <c r="BF8" s="162">
        <v>3327</v>
      </c>
      <c r="BG8" s="162">
        <v>2994</v>
      </c>
      <c r="BH8" s="162">
        <v>6378</v>
      </c>
      <c r="BI8" s="162">
        <v>2972</v>
      </c>
      <c r="BJ8" s="162">
        <v>663</v>
      </c>
      <c r="BK8" s="97"/>
      <c r="BL8" s="97"/>
      <c r="BM8" s="97"/>
      <c r="BN8" s="97"/>
    </row>
    <row r="9" spans="1:66" ht="12.75">
      <c r="A9" s="79" t="s">
        <v>480</v>
      </c>
      <c r="B9" s="79" t="s">
        <v>285</v>
      </c>
      <c r="C9" s="79" t="s">
        <v>90</v>
      </c>
      <c r="D9" s="99">
        <v>32514</v>
      </c>
      <c r="E9" s="99">
        <v>5522</v>
      </c>
      <c r="F9" s="99" t="s">
        <v>316</v>
      </c>
      <c r="G9" s="99">
        <v>165</v>
      </c>
      <c r="H9" s="99">
        <v>91</v>
      </c>
      <c r="I9" s="99">
        <v>530</v>
      </c>
      <c r="J9" s="99">
        <v>3264</v>
      </c>
      <c r="K9" s="99">
        <v>1401</v>
      </c>
      <c r="L9" s="99">
        <v>5721</v>
      </c>
      <c r="M9" s="99">
        <v>2136</v>
      </c>
      <c r="N9" s="99">
        <v>526</v>
      </c>
      <c r="O9" s="99">
        <v>503</v>
      </c>
      <c r="P9" s="159">
        <v>503</v>
      </c>
      <c r="Q9" s="99">
        <v>55</v>
      </c>
      <c r="R9" s="99">
        <v>172</v>
      </c>
      <c r="S9" s="99">
        <v>139</v>
      </c>
      <c r="T9" s="99">
        <v>104</v>
      </c>
      <c r="U9" s="99">
        <v>10</v>
      </c>
      <c r="V9" s="99">
        <v>71</v>
      </c>
      <c r="W9" s="99">
        <v>337</v>
      </c>
      <c r="X9" s="99">
        <v>45</v>
      </c>
      <c r="Y9" s="99">
        <v>453</v>
      </c>
      <c r="Z9" s="99">
        <v>224</v>
      </c>
      <c r="AA9" s="99" t="s">
        <v>495</v>
      </c>
      <c r="AB9" s="99" t="s">
        <v>495</v>
      </c>
      <c r="AC9" s="99" t="s">
        <v>495</v>
      </c>
      <c r="AD9" s="98" t="s">
        <v>294</v>
      </c>
      <c r="AE9" s="100">
        <v>0.16983453281663283</v>
      </c>
      <c r="AF9" s="100">
        <v>0.17</v>
      </c>
      <c r="AG9" s="98">
        <v>507.4737036353571</v>
      </c>
      <c r="AH9" s="98">
        <v>279.8794365504091</v>
      </c>
      <c r="AI9" s="100">
        <v>0.016</v>
      </c>
      <c r="AJ9" s="100">
        <v>0.785182</v>
      </c>
      <c r="AK9" s="100">
        <v>0.748397</v>
      </c>
      <c r="AL9" s="100">
        <v>0.747843</v>
      </c>
      <c r="AM9" s="100">
        <v>0.5491</v>
      </c>
      <c r="AN9" s="100">
        <v>0.563773</v>
      </c>
      <c r="AO9" s="98">
        <v>1547.0258965368764</v>
      </c>
      <c r="AP9" s="158">
        <v>0.8174204254</v>
      </c>
      <c r="AQ9" s="100">
        <v>0.10934393638170974</v>
      </c>
      <c r="AR9" s="100">
        <v>0.31976744186046513</v>
      </c>
      <c r="AS9" s="98">
        <v>427.5081503352402</v>
      </c>
      <c r="AT9" s="98">
        <v>319.86221320046747</v>
      </c>
      <c r="AU9" s="98">
        <v>30.755982038506488</v>
      </c>
      <c r="AV9" s="98">
        <v>218.36747247339608</v>
      </c>
      <c r="AW9" s="98">
        <v>1036.4765946976686</v>
      </c>
      <c r="AX9" s="98">
        <v>138.4019191732792</v>
      </c>
      <c r="AY9" s="98">
        <v>1393.245986344344</v>
      </c>
      <c r="AZ9" s="98">
        <v>688.9339976625454</v>
      </c>
      <c r="BA9" s="100" t="s">
        <v>495</v>
      </c>
      <c r="BB9" s="100" t="s">
        <v>495</v>
      </c>
      <c r="BC9" s="100" t="s">
        <v>495</v>
      </c>
      <c r="BD9" s="158">
        <v>0.7475358582</v>
      </c>
      <c r="BE9" s="158">
        <v>0.8920787810999999</v>
      </c>
      <c r="BF9" s="162">
        <v>4157</v>
      </c>
      <c r="BG9" s="162">
        <v>1872</v>
      </c>
      <c r="BH9" s="162">
        <v>7650</v>
      </c>
      <c r="BI9" s="162">
        <v>3890</v>
      </c>
      <c r="BJ9" s="162">
        <v>933</v>
      </c>
      <c r="BK9" s="97"/>
      <c r="BL9" s="97"/>
      <c r="BM9" s="97"/>
      <c r="BN9" s="97"/>
    </row>
    <row r="10" spans="1:66" ht="12.75">
      <c r="A10" s="79" t="s">
        <v>486</v>
      </c>
      <c r="B10" s="79" t="s">
        <v>291</v>
      </c>
      <c r="C10" s="79" t="s">
        <v>90</v>
      </c>
      <c r="D10" s="99">
        <v>2628</v>
      </c>
      <c r="E10" s="99">
        <v>624</v>
      </c>
      <c r="F10" s="99" t="s">
        <v>315</v>
      </c>
      <c r="G10" s="99">
        <v>18</v>
      </c>
      <c r="H10" s="99" t="s">
        <v>495</v>
      </c>
      <c r="I10" s="99">
        <v>62</v>
      </c>
      <c r="J10" s="99">
        <v>306</v>
      </c>
      <c r="K10" s="99" t="s">
        <v>495</v>
      </c>
      <c r="L10" s="99">
        <v>538</v>
      </c>
      <c r="M10" s="99">
        <v>278</v>
      </c>
      <c r="N10" s="99">
        <v>66</v>
      </c>
      <c r="O10" s="99">
        <v>30</v>
      </c>
      <c r="P10" s="159">
        <v>30</v>
      </c>
      <c r="Q10" s="99" t="s">
        <v>495</v>
      </c>
      <c r="R10" s="99">
        <v>10</v>
      </c>
      <c r="S10" s="99">
        <v>13</v>
      </c>
      <c r="T10" s="99" t="s">
        <v>495</v>
      </c>
      <c r="U10" s="99" t="s">
        <v>495</v>
      </c>
      <c r="V10" s="99" t="s">
        <v>495</v>
      </c>
      <c r="W10" s="99">
        <v>24</v>
      </c>
      <c r="X10" s="99" t="s">
        <v>495</v>
      </c>
      <c r="Y10" s="99">
        <v>31</v>
      </c>
      <c r="Z10" s="99">
        <v>22</v>
      </c>
      <c r="AA10" s="99" t="s">
        <v>495</v>
      </c>
      <c r="AB10" s="99" t="s">
        <v>495</v>
      </c>
      <c r="AC10" s="99" t="s">
        <v>495</v>
      </c>
      <c r="AD10" s="98" t="s">
        <v>294</v>
      </c>
      <c r="AE10" s="100">
        <v>0.2374429223744292</v>
      </c>
      <c r="AF10" s="100">
        <v>0.09</v>
      </c>
      <c r="AG10" s="98">
        <v>684.931506849315</v>
      </c>
      <c r="AH10" s="98" t="s">
        <v>495</v>
      </c>
      <c r="AI10" s="100">
        <v>0.024</v>
      </c>
      <c r="AJ10" s="100">
        <v>0.72</v>
      </c>
      <c r="AK10" s="100" t="s">
        <v>495</v>
      </c>
      <c r="AL10" s="100">
        <v>0.864952</v>
      </c>
      <c r="AM10" s="100">
        <v>0.597849</v>
      </c>
      <c r="AN10" s="100">
        <v>0.616822</v>
      </c>
      <c r="AO10" s="98">
        <v>1141.552511415525</v>
      </c>
      <c r="AP10" s="158">
        <v>0.4978752136</v>
      </c>
      <c r="AQ10" s="100" t="s">
        <v>495</v>
      </c>
      <c r="AR10" s="100" t="s">
        <v>495</v>
      </c>
      <c r="AS10" s="98">
        <v>494.67275494672754</v>
      </c>
      <c r="AT10" s="98" t="s">
        <v>495</v>
      </c>
      <c r="AU10" s="98" t="s">
        <v>495</v>
      </c>
      <c r="AV10" s="98" t="s">
        <v>495</v>
      </c>
      <c r="AW10" s="98">
        <v>913.2420091324201</v>
      </c>
      <c r="AX10" s="98" t="s">
        <v>495</v>
      </c>
      <c r="AY10" s="98">
        <v>1179.6042617960427</v>
      </c>
      <c r="AZ10" s="98">
        <v>837.1385083713851</v>
      </c>
      <c r="BA10" s="100" t="s">
        <v>495</v>
      </c>
      <c r="BB10" s="100" t="s">
        <v>495</v>
      </c>
      <c r="BC10" s="100" t="s">
        <v>495</v>
      </c>
      <c r="BD10" s="158">
        <v>0.3359143066</v>
      </c>
      <c r="BE10" s="158">
        <v>0.7107478333</v>
      </c>
      <c r="BF10" s="162">
        <v>425</v>
      </c>
      <c r="BG10" s="162" t="s">
        <v>495</v>
      </c>
      <c r="BH10" s="162">
        <v>622</v>
      </c>
      <c r="BI10" s="162">
        <v>465</v>
      </c>
      <c r="BJ10" s="162">
        <v>107</v>
      </c>
      <c r="BK10" s="97"/>
      <c r="BL10" s="97"/>
      <c r="BM10" s="97"/>
      <c r="BN10" s="97"/>
    </row>
    <row r="11" spans="1:66" ht="12.75">
      <c r="A11" s="79" t="s">
        <v>483</v>
      </c>
      <c r="B11" s="79" t="s">
        <v>288</v>
      </c>
      <c r="C11" s="79" t="s">
        <v>90</v>
      </c>
      <c r="D11" s="99">
        <v>8524</v>
      </c>
      <c r="E11" s="99">
        <v>1458</v>
      </c>
      <c r="F11" s="99" t="s">
        <v>316</v>
      </c>
      <c r="G11" s="99">
        <v>58</v>
      </c>
      <c r="H11" s="99">
        <v>31</v>
      </c>
      <c r="I11" s="99">
        <v>85</v>
      </c>
      <c r="J11" s="99">
        <v>686</v>
      </c>
      <c r="K11" s="99">
        <v>8</v>
      </c>
      <c r="L11" s="99">
        <v>1541</v>
      </c>
      <c r="M11" s="99">
        <v>510</v>
      </c>
      <c r="N11" s="99">
        <v>136</v>
      </c>
      <c r="O11" s="99">
        <v>110</v>
      </c>
      <c r="P11" s="159">
        <v>110</v>
      </c>
      <c r="Q11" s="99">
        <v>15</v>
      </c>
      <c r="R11" s="99">
        <v>36</v>
      </c>
      <c r="S11" s="99">
        <v>33</v>
      </c>
      <c r="T11" s="99">
        <v>23</v>
      </c>
      <c r="U11" s="99" t="s">
        <v>495</v>
      </c>
      <c r="V11" s="99">
        <v>19</v>
      </c>
      <c r="W11" s="99">
        <v>78</v>
      </c>
      <c r="X11" s="99">
        <v>15</v>
      </c>
      <c r="Y11" s="99">
        <v>84</v>
      </c>
      <c r="Z11" s="99">
        <v>48</v>
      </c>
      <c r="AA11" s="99" t="s">
        <v>495</v>
      </c>
      <c r="AB11" s="99" t="s">
        <v>495</v>
      </c>
      <c r="AC11" s="99" t="s">
        <v>495</v>
      </c>
      <c r="AD11" s="98" t="s">
        <v>294</v>
      </c>
      <c r="AE11" s="100">
        <v>0.171046457062412</v>
      </c>
      <c r="AF11" s="100">
        <v>0.13</v>
      </c>
      <c r="AG11" s="98">
        <v>680.431722196152</v>
      </c>
      <c r="AH11" s="98">
        <v>363.6790239324261</v>
      </c>
      <c r="AI11" s="100">
        <v>0.01</v>
      </c>
      <c r="AJ11" s="100">
        <v>0.69574</v>
      </c>
      <c r="AK11" s="100">
        <v>0.4</v>
      </c>
      <c r="AL11" s="100">
        <v>0.767813</v>
      </c>
      <c r="AM11" s="100">
        <v>0.52795</v>
      </c>
      <c r="AN11" s="100">
        <v>0.566667</v>
      </c>
      <c r="AO11" s="98">
        <v>1290.4739558892538</v>
      </c>
      <c r="AP11" s="158">
        <v>0.6914054108000001</v>
      </c>
      <c r="AQ11" s="100">
        <v>0.13636363636363635</v>
      </c>
      <c r="AR11" s="100">
        <v>0.4166666666666667</v>
      </c>
      <c r="AS11" s="98">
        <v>387.14218676677615</v>
      </c>
      <c r="AT11" s="98">
        <v>269.8263725950258</v>
      </c>
      <c r="AU11" s="98" t="s">
        <v>495</v>
      </c>
      <c r="AV11" s="98">
        <v>222.90004692632567</v>
      </c>
      <c r="AW11" s="98">
        <v>915.0633505396528</v>
      </c>
      <c r="AX11" s="98">
        <v>175.97372125762553</v>
      </c>
      <c r="AY11" s="98">
        <v>985.452839042703</v>
      </c>
      <c r="AZ11" s="98">
        <v>563.1159080244017</v>
      </c>
      <c r="BA11" s="100" t="s">
        <v>495</v>
      </c>
      <c r="BB11" s="100" t="s">
        <v>495</v>
      </c>
      <c r="BC11" s="100" t="s">
        <v>495</v>
      </c>
      <c r="BD11" s="158">
        <v>0.5682511902</v>
      </c>
      <c r="BE11" s="158">
        <v>0.8333305359000001</v>
      </c>
      <c r="BF11" s="162">
        <v>986</v>
      </c>
      <c r="BG11" s="162">
        <v>20</v>
      </c>
      <c r="BH11" s="162">
        <v>2007</v>
      </c>
      <c r="BI11" s="162">
        <v>966</v>
      </c>
      <c r="BJ11" s="162">
        <v>240</v>
      </c>
      <c r="BK11" s="97"/>
      <c r="BL11" s="97"/>
      <c r="BM11" s="97"/>
      <c r="BN11" s="97"/>
    </row>
    <row r="12" spans="1:66" ht="12.75">
      <c r="A12" s="79" t="s">
        <v>485</v>
      </c>
      <c r="B12" s="79" t="s">
        <v>290</v>
      </c>
      <c r="C12" s="79" t="s">
        <v>90</v>
      </c>
      <c r="D12" s="99">
        <v>5619</v>
      </c>
      <c r="E12" s="99">
        <v>969</v>
      </c>
      <c r="F12" s="99" t="s">
        <v>315</v>
      </c>
      <c r="G12" s="99">
        <v>19</v>
      </c>
      <c r="H12" s="99">
        <v>17</v>
      </c>
      <c r="I12" s="99">
        <v>94</v>
      </c>
      <c r="J12" s="99">
        <v>617</v>
      </c>
      <c r="K12" s="99" t="s">
        <v>495</v>
      </c>
      <c r="L12" s="99">
        <v>1170</v>
      </c>
      <c r="M12" s="99">
        <v>445</v>
      </c>
      <c r="N12" s="99">
        <v>122</v>
      </c>
      <c r="O12" s="99">
        <v>111</v>
      </c>
      <c r="P12" s="159">
        <v>111</v>
      </c>
      <c r="Q12" s="99">
        <v>10</v>
      </c>
      <c r="R12" s="99">
        <v>15</v>
      </c>
      <c r="S12" s="99">
        <v>28</v>
      </c>
      <c r="T12" s="99">
        <v>27</v>
      </c>
      <c r="U12" s="99" t="s">
        <v>495</v>
      </c>
      <c r="V12" s="99">
        <v>19</v>
      </c>
      <c r="W12" s="99">
        <v>55</v>
      </c>
      <c r="X12" s="99">
        <v>7</v>
      </c>
      <c r="Y12" s="99">
        <v>67</v>
      </c>
      <c r="Z12" s="99">
        <v>44</v>
      </c>
      <c r="AA12" s="99" t="s">
        <v>495</v>
      </c>
      <c r="AB12" s="99" t="s">
        <v>495</v>
      </c>
      <c r="AC12" s="99" t="s">
        <v>495</v>
      </c>
      <c r="AD12" s="98" t="s">
        <v>294</v>
      </c>
      <c r="AE12" s="100">
        <v>0.17245061398825415</v>
      </c>
      <c r="AF12" s="100">
        <v>0.12</v>
      </c>
      <c r="AG12" s="98">
        <v>338.1384588004983</v>
      </c>
      <c r="AH12" s="98">
        <v>302.5449368214985</v>
      </c>
      <c r="AI12" s="100">
        <v>0.017</v>
      </c>
      <c r="AJ12" s="100">
        <v>0.756127</v>
      </c>
      <c r="AK12" s="100" t="s">
        <v>495</v>
      </c>
      <c r="AL12" s="100">
        <v>0.851528</v>
      </c>
      <c r="AM12" s="100">
        <v>0.585526</v>
      </c>
      <c r="AN12" s="100">
        <v>0.638743</v>
      </c>
      <c r="AO12" s="98">
        <v>1975.4404698344902</v>
      </c>
      <c r="AP12" s="158">
        <v>0.9964890289</v>
      </c>
      <c r="AQ12" s="100">
        <v>0.09009009009009009</v>
      </c>
      <c r="AR12" s="100">
        <v>0.6666666666666666</v>
      </c>
      <c r="AS12" s="98">
        <v>498.3093077059975</v>
      </c>
      <c r="AT12" s="98">
        <v>480.5125467164976</v>
      </c>
      <c r="AU12" s="98" t="s">
        <v>495</v>
      </c>
      <c r="AV12" s="98">
        <v>338.1384588004983</v>
      </c>
      <c r="AW12" s="98">
        <v>978.8218544224951</v>
      </c>
      <c r="AX12" s="98">
        <v>124.57732692649938</v>
      </c>
      <c r="AY12" s="98">
        <v>1192.382986296494</v>
      </c>
      <c r="AZ12" s="98">
        <v>783.0574835379961</v>
      </c>
      <c r="BA12" s="100" t="s">
        <v>495</v>
      </c>
      <c r="BB12" s="100" t="s">
        <v>495</v>
      </c>
      <c r="BC12" s="100" t="s">
        <v>495</v>
      </c>
      <c r="BD12" s="158">
        <v>0.8197543335</v>
      </c>
      <c r="BE12" s="158">
        <v>1.200029831</v>
      </c>
      <c r="BF12" s="162">
        <v>816</v>
      </c>
      <c r="BG12" s="162" t="s">
        <v>495</v>
      </c>
      <c r="BH12" s="162">
        <v>1374</v>
      </c>
      <c r="BI12" s="162">
        <v>760</v>
      </c>
      <c r="BJ12" s="162">
        <v>191</v>
      </c>
      <c r="BK12" s="97"/>
      <c r="BL12" s="97"/>
      <c r="BM12" s="97"/>
      <c r="BN12" s="97"/>
    </row>
    <row r="13" spans="1:66" ht="12.75">
      <c r="A13" s="79" t="s">
        <v>482</v>
      </c>
      <c r="B13" s="79" t="s">
        <v>287</v>
      </c>
      <c r="C13" s="79" t="s">
        <v>90</v>
      </c>
      <c r="D13" s="99">
        <v>5765</v>
      </c>
      <c r="E13" s="99">
        <v>1346</v>
      </c>
      <c r="F13" s="99" t="s">
        <v>315</v>
      </c>
      <c r="G13" s="99">
        <v>19</v>
      </c>
      <c r="H13" s="99">
        <v>24</v>
      </c>
      <c r="I13" s="99">
        <v>97</v>
      </c>
      <c r="J13" s="99">
        <v>718</v>
      </c>
      <c r="K13" s="99">
        <v>47</v>
      </c>
      <c r="L13" s="99">
        <v>1155</v>
      </c>
      <c r="M13" s="99">
        <v>571</v>
      </c>
      <c r="N13" s="99">
        <v>141</v>
      </c>
      <c r="O13" s="99">
        <v>105</v>
      </c>
      <c r="P13" s="159">
        <v>105</v>
      </c>
      <c r="Q13" s="99">
        <v>10</v>
      </c>
      <c r="R13" s="99">
        <v>40</v>
      </c>
      <c r="S13" s="99">
        <v>28</v>
      </c>
      <c r="T13" s="99">
        <v>15</v>
      </c>
      <c r="U13" s="99">
        <v>6</v>
      </c>
      <c r="V13" s="99">
        <v>14</v>
      </c>
      <c r="W13" s="99">
        <v>44</v>
      </c>
      <c r="X13" s="99">
        <v>7</v>
      </c>
      <c r="Y13" s="99">
        <v>55</v>
      </c>
      <c r="Z13" s="99">
        <v>48</v>
      </c>
      <c r="AA13" s="99" t="s">
        <v>495</v>
      </c>
      <c r="AB13" s="99" t="s">
        <v>495</v>
      </c>
      <c r="AC13" s="99" t="s">
        <v>495</v>
      </c>
      <c r="AD13" s="98" t="s">
        <v>294</v>
      </c>
      <c r="AE13" s="100">
        <v>0.23347788378143972</v>
      </c>
      <c r="AF13" s="100">
        <v>0.09</v>
      </c>
      <c r="AG13" s="98">
        <v>329.57502168256724</v>
      </c>
      <c r="AH13" s="98">
        <v>416.30529054640067</v>
      </c>
      <c r="AI13" s="100">
        <v>0.017</v>
      </c>
      <c r="AJ13" s="100">
        <v>0.760593</v>
      </c>
      <c r="AK13" s="100">
        <v>0.758065</v>
      </c>
      <c r="AL13" s="100">
        <v>0.85429</v>
      </c>
      <c r="AM13" s="100">
        <v>0.610043</v>
      </c>
      <c r="AN13" s="100">
        <v>0.640909</v>
      </c>
      <c r="AO13" s="98">
        <v>1821.335646140503</v>
      </c>
      <c r="AP13" s="158">
        <v>0.7943576813</v>
      </c>
      <c r="AQ13" s="100">
        <v>0.09523809523809523</v>
      </c>
      <c r="AR13" s="100">
        <v>0.25</v>
      </c>
      <c r="AS13" s="98">
        <v>485.68950563746745</v>
      </c>
      <c r="AT13" s="98">
        <v>260.19080659150046</v>
      </c>
      <c r="AU13" s="98">
        <v>104.07632263660017</v>
      </c>
      <c r="AV13" s="98">
        <v>242.84475281873372</v>
      </c>
      <c r="AW13" s="98">
        <v>763.2263660017346</v>
      </c>
      <c r="AX13" s="98">
        <v>121.42237640936686</v>
      </c>
      <c r="AY13" s="98">
        <v>954.0329575021683</v>
      </c>
      <c r="AZ13" s="98">
        <v>832.6105810928013</v>
      </c>
      <c r="BA13" s="100" t="s">
        <v>495</v>
      </c>
      <c r="BB13" s="100" t="s">
        <v>495</v>
      </c>
      <c r="BC13" s="100" t="s">
        <v>495</v>
      </c>
      <c r="BD13" s="158">
        <v>0.6497058868000001</v>
      </c>
      <c r="BE13" s="158">
        <v>0.9616184235</v>
      </c>
      <c r="BF13" s="162">
        <v>944</v>
      </c>
      <c r="BG13" s="162">
        <v>62</v>
      </c>
      <c r="BH13" s="162">
        <v>1352</v>
      </c>
      <c r="BI13" s="162">
        <v>936</v>
      </c>
      <c r="BJ13" s="162">
        <v>220</v>
      </c>
      <c r="BK13" s="97"/>
      <c r="BL13" s="97"/>
      <c r="BM13" s="97"/>
      <c r="BN13" s="97"/>
    </row>
    <row r="14" spans="1:66" ht="12.75">
      <c r="A14" s="79" t="s">
        <v>478</v>
      </c>
      <c r="B14" s="79" t="s">
        <v>283</v>
      </c>
      <c r="C14" s="79" t="s">
        <v>90</v>
      </c>
      <c r="D14" s="99">
        <v>5277</v>
      </c>
      <c r="E14" s="99">
        <v>1082</v>
      </c>
      <c r="F14" s="99" t="s">
        <v>315</v>
      </c>
      <c r="G14" s="99">
        <v>31</v>
      </c>
      <c r="H14" s="99">
        <v>22</v>
      </c>
      <c r="I14" s="99">
        <v>81</v>
      </c>
      <c r="J14" s="99">
        <v>647</v>
      </c>
      <c r="K14" s="99" t="s">
        <v>495</v>
      </c>
      <c r="L14" s="99">
        <v>1021</v>
      </c>
      <c r="M14" s="99">
        <v>517</v>
      </c>
      <c r="N14" s="99">
        <v>132</v>
      </c>
      <c r="O14" s="99">
        <v>72</v>
      </c>
      <c r="P14" s="159">
        <v>72</v>
      </c>
      <c r="Q14" s="99">
        <v>18</v>
      </c>
      <c r="R14" s="99">
        <v>37</v>
      </c>
      <c r="S14" s="99">
        <v>31</v>
      </c>
      <c r="T14" s="99">
        <v>7</v>
      </c>
      <c r="U14" s="99" t="s">
        <v>495</v>
      </c>
      <c r="V14" s="99" t="s">
        <v>495</v>
      </c>
      <c r="W14" s="99">
        <v>31</v>
      </c>
      <c r="X14" s="99" t="s">
        <v>495</v>
      </c>
      <c r="Y14" s="99">
        <v>41</v>
      </c>
      <c r="Z14" s="99">
        <v>44</v>
      </c>
      <c r="AA14" s="99" t="s">
        <v>495</v>
      </c>
      <c r="AB14" s="99" t="s">
        <v>495</v>
      </c>
      <c r="AC14" s="99" t="s">
        <v>495</v>
      </c>
      <c r="AD14" s="98" t="s">
        <v>294</v>
      </c>
      <c r="AE14" s="100">
        <v>0.20504074284631418</v>
      </c>
      <c r="AF14" s="100">
        <v>0.1</v>
      </c>
      <c r="AG14" s="98">
        <v>587.4549933674436</v>
      </c>
      <c r="AH14" s="98">
        <v>416.9035436801213</v>
      </c>
      <c r="AI14" s="100">
        <v>0.015</v>
      </c>
      <c r="AJ14" s="100">
        <v>0.767497</v>
      </c>
      <c r="AK14" s="100" t="s">
        <v>495</v>
      </c>
      <c r="AL14" s="100">
        <v>0.808393</v>
      </c>
      <c r="AM14" s="100">
        <v>0.597688</v>
      </c>
      <c r="AN14" s="100">
        <v>0.640777</v>
      </c>
      <c r="AO14" s="98">
        <v>1364.4115974985787</v>
      </c>
      <c r="AP14" s="158">
        <v>0.6332861710000001</v>
      </c>
      <c r="AQ14" s="100">
        <v>0.25</v>
      </c>
      <c r="AR14" s="100">
        <v>0.4864864864864865</v>
      </c>
      <c r="AS14" s="98">
        <v>587.4549933674436</v>
      </c>
      <c r="AT14" s="98">
        <v>132.65112753458405</v>
      </c>
      <c r="AU14" s="98" t="s">
        <v>495</v>
      </c>
      <c r="AV14" s="98" t="s">
        <v>495</v>
      </c>
      <c r="AW14" s="98">
        <v>587.4549933674436</v>
      </c>
      <c r="AX14" s="98" t="s">
        <v>495</v>
      </c>
      <c r="AY14" s="98">
        <v>776.9566041311351</v>
      </c>
      <c r="AZ14" s="98">
        <v>833.8070873602426</v>
      </c>
      <c r="BA14" s="100" t="s">
        <v>495</v>
      </c>
      <c r="BB14" s="100" t="s">
        <v>495</v>
      </c>
      <c r="BC14" s="100" t="s">
        <v>495</v>
      </c>
      <c r="BD14" s="158">
        <v>0.495507431</v>
      </c>
      <c r="BE14" s="158">
        <v>0.7975191497999999</v>
      </c>
      <c r="BF14" s="162">
        <v>843</v>
      </c>
      <c r="BG14" s="162" t="s">
        <v>495</v>
      </c>
      <c r="BH14" s="162">
        <v>1263</v>
      </c>
      <c r="BI14" s="162">
        <v>865</v>
      </c>
      <c r="BJ14" s="162">
        <v>206</v>
      </c>
      <c r="BK14" s="97"/>
      <c r="BL14" s="97"/>
      <c r="BM14" s="97"/>
      <c r="BN14" s="97"/>
    </row>
    <row r="15" spans="1:66" ht="12.75">
      <c r="A15" s="79" t="s">
        <v>356</v>
      </c>
      <c r="B15" s="94" t="s">
        <v>90</v>
      </c>
      <c r="C15" s="94" t="s">
        <v>7</v>
      </c>
      <c r="D15" s="99">
        <v>110145</v>
      </c>
      <c r="E15" s="99">
        <v>20250</v>
      </c>
      <c r="F15" s="99">
        <v>15406.180000000002</v>
      </c>
      <c r="G15" s="99">
        <v>584</v>
      </c>
      <c r="H15" s="99">
        <v>348</v>
      </c>
      <c r="I15" s="99">
        <v>1769</v>
      </c>
      <c r="J15" s="99">
        <v>11355</v>
      </c>
      <c r="K15" s="99">
        <v>3821</v>
      </c>
      <c r="L15" s="99">
        <v>20937</v>
      </c>
      <c r="M15" s="99">
        <v>8086</v>
      </c>
      <c r="N15" s="99">
        <v>2003</v>
      </c>
      <c r="O15" s="99">
        <v>1714</v>
      </c>
      <c r="P15" s="99">
        <v>1714</v>
      </c>
      <c r="Q15" s="99">
        <v>208</v>
      </c>
      <c r="R15" s="99">
        <v>560</v>
      </c>
      <c r="S15" s="99">
        <v>449</v>
      </c>
      <c r="T15" s="99">
        <v>339</v>
      </c>
      <c r="U15" s="99">
        <v>40</v>
      </c>
      <c r="V15" s="99">
        <v>274</v>
      </c>
      <c r="W15" s="99">
        <v>1043</v>
      </c>
      <c r="X15" s="99">
        <v>141</v>
      </c>
      <c r="Y15" s="99">
        <v>1341</v>
      </c>
      <c r="Z15" s="99">
        <v>742</v>
      </c>
      <c r="AA15" s="99">
        <v>0</v>
      </c>
      <c r="AB15" s="99">
        <v>0</v>
      </c>
      <c r="AC15" s="99">
        <v>0</v>
      </c>
      <c r="AD15" s="98">
        <v>0</v>
      </c>
      <c r="AE15" s="101">
        <v>0.18384856325752416</v>
      </c>
      <c r="AF15" s="101">
        <v>0.1398718053474965</v>
      </c>
      <c r="AG15" s="98">
        <v>530.2101774933043</v>
      </c>
      <c r="AH15" s="98">
        <v>315.9471605610786</v>
      </c>
      <c r="AI15" s="101">
        <v>0.016060647328521496</v>
      </c>
      <c r="AJ15" s="101">
        <v>0.7585170340681363</v>
      </c>
      <c r="AK15" s="101">
        <v>0.7403603952722341</v>
      </c>
      <c r="AL15" s="101">
        <v>0.7993051843933725</v>
      </c>
      <c r="AM15" s="101">
        <v>0.5708436286621955</v>
      </c>
      <c r="AN15" s="101">
        <v>0.5995211014666267</v>
      </c>
      <c r="AO15" s="98">
        <v>1556.1305551772664</v>
      </c>
      <c r="AP15" s="98">
        <v>0</v>
      </c>
      <c r="AQ15" s="101">
        <v>0.12135355892648775</v>
      </c>
      <c r="AR15" s="101">
        <v>0.37142857142857144</v>
      </c>
      <c r="AS15" s="98">
        <v>407.64446865495484</v>
      </c>
      <c r="AT15" s="98">
        <v>307.77611330518863</v>
      </c>
      <c r="AU15" s="98">
        <v>36.31576558173317</v>
      </c>
      <c r="AV15" s="98">
        <v>248.76299423487222</v>
      </c>
      <c r="AW15" s="98">
        <v>946.9335875436924</v>
      </c>
      <c r="AX15" s="98">
        <v>128.01307367560943</v>
      </c>
      <c r="AY15" s="98">
        <v>1217.4860411276045</v>
      </c>
      <c r="AZ15" s="98">
        <v>673.6574515411503</v>
      </c>
      <c r="BA15" s="101">
        <v>0</v>
      </c>
      <c r="BB15" s="101">
        <v>0</v>
      </c>
      <c r="BC15" s="101">
        <v>0</v>
      </c>
      <c r="BD15" s="98">
        <v>0</v>
      </c>
      <c r="BE15" s="98">
        <v>0</v>
      </c>
      <c r="BF15" s="99">
        <v>14970</v>
      </c>
      <c r="BG15" s="99">
        <v>5161</v>
      </c>
      <c r="BH15" s="99">
        <v>26194</v>
      </c>
      <c r="BI15" s="99">
        <v>14165</v>
      </c>
      <c r="BJ15" s="99">
        <v>3341</v>
      </c>
      <c r="BK15" s="97"/>
      <c r="BL15" s="97"/>
      <c r="BM15" s="97"/>
      <c r="BN15" s="97"/>
    </row>
    <row r="16" spans="1:66" ht="12.75">
      <c r="A16" s="79" t="s">
        <v>24</v>
      </c>
      <c r="B16" s="94" t="s">
        <v>7</v>
      </c>
      <c r="C16" s="94" t="s">
        <v>7</v>
      </c>
      <c r="D16" s="99">
        <v>54615830</v>
      </c>
      <c r="E16" s="99">
        <v>8737890</v>
      </c>
      <c r="F16" s="99">
        <v>8198344.169999988</v>
      </c>
      <c r="G16" s="99">
        <v>243379</v>
      </c>
      <c r="H16" s="99">
        <v>127868</v>
      </c>
      <c r="I16" s="99">
        <v>870616</v>
      </c>
      <c r="J16" s="99">
        <v>4592627</v>
      </c>
      <c r="K16" s="99">
        <v>1679592</v>
      </c>
      <c r="L16" s="99">
        <v>10150944</v>
      </c>
      <c r="M16" s="99">
        <v>2959539</v>
      </c>
      <c r="N16" s="99">
        <v>1629320</v>
      </c>
      <c r="O16" s="99">
        <v>989730</v>
      </c>
      <c r="P16" s="99">
        <v>989730</v>
      </c>
      <c r="Q16" s="99">
        <v>108072</v>
      </c>
      <c r="R16" s="99">
        <v>238330</v>
      </c>
      <c r="S16" s="99">
        <v>206300</v>
      </c>
      <c r="T16" s="99">
        <v>154264</v>
      </c>
      <c r="U16" s="99">
        <v>38486</v>
      </c>
      <c r="V16" s="99">
        <v>176535</v>
      </c>
      <c r="W16" s="99">
        <v>307276</v>
      </c>
      <c r="X16" s="99">
        <v>221506</v>
      </c>
      <c r="Y16" s="99">
        <v>578574</v>
      </c>
      <c r="Z16" s="99">
        <v>318377</v>
      </c>
      <c r="AA16" s="99">
        <v>0</v>
      </c>
      <c r="AB16" s="99">
        <v>0</v>
      </c>
      <c r="AC16" s="99">
        <v>0</v>
      </c>
      <c r="AD16" s="98">
        <v>0</v>
      </c>
      <c r="AE16" s="101">
        <v>0.1599882305185145</v>
      </c>
      <c r="AF16" s="101">
        <v>0.15010930292554353</v>
      </c>
      <c r="AG16" s="98">
        <v>445.6198871279627</v>
      </c>
      <c r="AH16" s="98">
        <v>234.12259778895606</v>
      </c>
      <c r="AI16" s="101">
        <v>0.015940726342527432</v>
      </c>
      <c r="AJ16" s="101">
        <v>0.7248631360507991</v>
      </c>
      <c r="AK16" s="101">
        <v>0.7467412166569077</v>
      </c>
      <c r="AL16" s="101">
        <v>0.7559681673907895</v>
      </c>
      <c r="AM16" s="101">
        <v>0.5147293797466616</v>
      </c>
      <c r="AN16" s="101">
        <v>0.5752927626212945</v>
      </c>
      <c r="AO16" s="98">
        <v>1812.1669120472948</v>
      </c>
      <c r="AP16" s="98">
        <v>1</v>
      </c>
      <c r="AQ16" s="101">
        <v>0.10919341638628717</v>
      </c>
      <c r="AR16" s="101">
        <v>0.4534552930810221</v>
      </c>
      <c r="AS16" s="98">
        <v>377.7293140102421</v>
      </c>
      <c r="AT16" s="98">
        <v>282.45290788403287</v>
      </c>
      <c r="AU16" s="98">
        <v>70.46674929228394</v>
      </c>
      <c r="AV16" s="98">
        <v>323.23046266988894</v>
      </c>
      <c r="AW16" s="98">
        <v>562.6134400960308</v>
      </c>
      <c r="AX16" s="98">
        <v>405.57105879375996</v>
      </c>
      <c r="AY16" s="98">
        <v>1059.3522061277838</v>
      </c>
      <c r="AZ16" s="98">
        <v>582.9390489900089</v>
      </c>
      <c r="BA16" s="101">
        <v>0</v>
      </c>
      <c r="BB16" s="101">
        <v>0</v>
      </c>
      <c r="BC16" s="101">
        <v>0</v>
      </c>
      <c r="BD16" s="98">
        <v>0</v>
      </c>
      <c r="BE16" s="98">
        <v>0</v>
      </c>
      <c r="BF16" s="99">
        <v>6335854</v>
      </c>
      <c r="BG16" s="99">
        <v>2249229</v>
      </c>
      <c r="BH16" s="99">
        <v>13427740</v>
      </c>
      <c r="BI16" s="99">
        <v>5749699</v>
      </c>
      <c r="BJ16" s="99">
        <v>2832158</v>
      </c>
      <c r="BK16" s="97"/>
      <c r="BL16" s="97"/>
      <c r="BM16" s="97"/>
      <c r="BN16" s="97"/>
    </row>
    <row r="17" spans="1:66" ht="12.75">
      <c r="A17" s="8"/>
      <c r="B17" s="8"/>
      <c r="C17" s="8"/>
      <c r="D17" s="299"/>
      <c r="E17" s="299"/>
      <c r="F17" s="299"/>
      <c r="G17" s="299"/>
      <c r="H17" s="299"/>
      <c r="I17" s="299"/>
      <c r="J17" s="299"/>
      <c r="K17" s="299"/>
      <c r="L17" s="299"/>
      <c r="M17" s="299"/>
      <c r="N17" s="299"/>
      <c r="O17" s="299"/>
      <c r="P17" s="300"/>
      <c r="Q17" s="299"/>
      <c r="R17" s="299"/>
      <c r="S17" s="299"/>
      <c r="T17" s="299"/>
      <c r="U17" s="299"/>
      <c r="V17" s="299"/>
      <c r="W17" s="299"/>
      <c r="X17" s="299"/>
      <c r="Y17" s="299"/>
      <c r="Z17" s="299"/>
      <c r="AA17" s="299"/>
      <c r="AB17" s="299"/>
      <c r="AC17" s="299"/>
      <c r="AD17" s="295"/>
      <c r="AE17" s="301"/>
      <c r="AF17" s="301"/>
      <c r="AG17" s="295"/>
      <c r="AH17" s="295"/>
      <c r="AI17" s="301"/>
      <c r="AJ17" s="301"/>
      <c r="AK17" s="301"/>
      <c r="AL17" s="301"/>
      <c r="AM17" s="301"/>
      <c r="AN17" s="301"/>
      <c r="AO17" s="295"/>
      <c r="AP17" s="296"/>
      <c r="AQ17" s="301"/>
      <c r="AR17" s="301"/>
      <c r="AS17" s="295"/>
      <c r="AT17" s="295"/>
      <c r="AU17" s="295"/>
      <c r="AV17" s="295"/>
      <c r="AW17" s="295"/>
      <c r="AX17" s="295"/>
      <c r="AY17" s="295"/>
      <c r="AZ17" s="295"/>
      <c r="BA17" s="301"/>
      <c r="BB17" s="301"/>
      <c r="BC17" s="301"/>
      <c r="BD17" s="296"/>
      <c r="BE17" s="296"/>
      <c r="BF17" s="297"/>
      <c r="BG17" s="297"/>
      <c r="BH17" s="297"/>
      <c r="BI17" s="297"/>
      <c r="BJ17" s="297"/>
      <c r="BK17" s="97"/>
      <c r="BL17" s="97"/>
      <c r="BM17" s="97"/>
      <c r="BN17" s="97"/>
    </row>
    <row r="18" spans="1:66" ht="12.75">
      <c r="A18" s="8"/>
      <c r="B18" s="8"/>
      <c r="C18" s="8"/>
      <c r="D18" s="299"/>
      <c r="E18" s="299"/>
      <c r="F18" s="299"/>
      <c r="G18" s="299"/>
      <c r="H18" s="299"/>
      <c r="I18" s="299"/>
      <c r="J18" s="299"/>
      <c r="K18" s="299"/>
      <c r="L18" s="299"/>
      <c r="M18" s="299"/>
      <c r="N18" s="299"/>
      <c r="O18" s="299"/>
      <c r="P18" s="300"/>
      <c r="Q18" s="299"/>
      <c r="R18" s="299"/>
      <c r="S18" s="299"/>
      <c r="T18" s="299"/>
      <c r="U18" s="299"/>
      <c r="V18" s="299"/>
      <c r="W18" s="299"/>
      <c r="X18" s="299"/>
      <c r="Y18" s="299"/>
      <c r="Z18" s="299"/>
      <c r="AA18" s="299"/>
      <c r="AB18" s="299"/>
      <c r="AC18" s="299"/>
      <c r="AD18" s="295"/>
      <c r="AE18" s="301"/>
      <c r="AF18" s="301"/>
      <c r="AG18" s="295"/>
      <c r="AH18" s="295"/>
      <c r="AI18" s="301"/>
      <c r="AJ18" s="301"/>
      <c r="AK18" s="301"/>
      <c r="AL18" s="301"/>
      <c r="AM18" s="301"/>
      <c r="AN18" s="301"/>
      <c r="AO18" s="295"/>
      <c r="AP18" s="296"/>
      <c r="AQ18" s="301"/>
      <c r="AR18" s="301"/>
      <c r="AS18" s="295"/>
      <c r="AT18" s="295"/>
      <c r="AU18" s="295"/>
      <c r="AV18" s="295"/>
      <c r="AW18" s="295"/>
      <c r="AX18" s="295"/>
      <c r="AY18" s="295"/>
      <c r="AZ18" s="295"/>
      <c r="BA18" s="301"/>
      <c r="BB18" s="301"/>
      <c r="BC18" s="301"/>
      <c r="BD18" s="296"/>
      <c r="BE18" s="296"/>
      <c r="BF18" s="297"/>
      <c r="BG18" s="297"/>
      <c r="BH18" s="297"/>
      <c r="BI18" s="297"/>
      <c r="BJ18" s="297"/>
      <c r="BK18" s="97"/>
      <c r="BL18" s="97"/>
      <c r="BM18" s="97"/>
      <c r="BN18" s="97"/>
    </row>
    <row r="19" spans="1:66" ht="12.75">
      <c r="A19" s="8"/>
      <c r="B19" s="8"/>
      <c r="C19" s="8"/>
      <c r="D19" s="299"/>
      <c r="E19" s="299"/>
      <c r="F19" s="299"/>
      <c r="G19" s="299"/>
      <c r="H19" s="299"/>
      <c r="I19" s="299"/>
      <c r="J19" s="299"/>
      <c r="K19" s="299"/>
      <c r="L19" s="299"/>
      <c r="M19" s="299"/>
      <c r="N19" s="299"/>
      <c r="O19" s="299"/>
      <c r="P19" s="300"/>
      <c r="Q19" s="299"/>
      <c r="R19" s="299"/>
      <c r="S19" s="299"/>
      <c r="T19" s="299"/>
      <c r="U19" s="299"/>
      <c r="V19" s="299"/>
      <c r="W19" s="299"/>
      <c r="X19" s="299"/>
      <c r="Y19" s="299"/>
      <c r="Z19" s="299"/>
      <c r="AA19" s="299"/>
      <c r="AB19" s="299"/>
      <c r="AC19" s="299"/>
      <c r="AD19" s="295"/>
      <c r="AE19" s="301"/>
      <c r="AF19" s="301"/>
      <c r="AG19" s="295"/>
      <c r="AH19" s="295"/>
      <c r="AI19" s="301"/>
      <c r="AJ19" s="301"/>
      <c r="AK19" s="301"/>
      <c r="AL19" s="301"/>
      <c r="AM19" s="301"/>
      <c r="AN19" s="301"/>
      <c r="AO19" s="295"/>
      <c r="AP19" s="296"/>
      <c r="AQ19" s="301"/>
      <c r="AR19" s="301"/>
      <c r="AS19" s="295"/>
      <c r="AT19" s="295"/>
      <c r="AU19" s="295"/>
      <c r="AV19" s="295"/>
      <c r="AW19" s="295"/>
      <c r="AX19" s="295"/>
      <c r="AY19" s="295"/>
      <c r="AZ19" s="295"/>
      <c r="BA19" s="302"/>
      <c r="BB19" s="302"/>
      <c r="BC19" s="302"/>
      <c r="BD19" s="296"/>
      <c r="BE19" s="296"/>
      <c r="BF19" s="297"/>
      <c r="BG19" s="297"/>
      <c r="BH19" s="297"/>
      <c r="BI19" s="297"/>
      <c r="BJ19" s="297"/>
      <c r="BK19" s="97"/>
      <c r="BL19" s="97"/>
      <c r="BM19" s="97"/>
      <c r="BN19" s="97"/>
    </row>
    <row r="20" spans="1:66" ht="12.75">
      <c r="A20" s="8"/>
      <c r="B20" s="8"/>
      <c r="C20" s="8"/>
      <c r="D20" s="299"/>
      <c r="E20" s="299"/>
      <c r="F20" s="299"/>
      <c r="G20" s="299"/>
      <c r="H20" s="299"/>
      <c r="I20" s="299"/>
      <c r="J20" s="299"/>
      <c r="K20" s="299"/>
      <c r="L20" s="299"/>
      <c r="M20" s="299"/>
      <c r="N20" s="299"/>
      <c r="O20" s="299"/>
      <c r="P20" s="300"/>
      <c r="Q20" s="299"/>
      <c r="R20" s="299"/>
      <c r="S20" s="299"/>
      <c r="T20" s="299"/>
      <c r="U20" s="299"/>
      <c r="V20" s="299"/>
      <c r="W20" s="299"/>
      <c r="X20" s="299"/>
      <c r="Y20" s="299"/>
      <c r="Z20" s="299"/>
      <c r="AA20" s="299"/>
      <c r="AB20" s="299"/>
      <c r="AC20" s="299"/>
      <c r="AD20" s="295"/>
      <c r="AE20" s="301"/>
      <c r="AF20" s="301"/>
      <c r="AG20" s="295"/>
      <c r="AH20" s="295"/>
      <c r="AI20" s="301"/>
      <c r="AJ20" s="301"/>
      <c r="AK20" s="301"/>
      <c r="AL20" s="301"/>
      <c r="AM20" s="301"/>
      <c r="AN20" s="301"/>
      <c r="AO20" s="295"/>
      <c r="AP20" s="296"/>
      <c r="AQ20" s="301"/>
      <c r="AR20" s="301"/>
      <c r="AS20" s="295"/>
      <c r="AT20" s="295"/>
      <c r="AU20" s="295"/>
      <c r="AV20" s="295"/>
      <c r="AW20" s="295"/>
      <c r="AX20" s="295"/>
      <c r="AY20" s="295"/>
      <c r="AZ20" s="295"/>
      <c r="BA20" s="302"/>
      <c r="BB20" s="302"/>
      <c r="BC20" s="302"/>
      <c r="BD20" s="296"/>
      <c r="BE20" s="296"/>
      <c r="BF20" s="297"/>
      <c r="BG20" s="297"/>
      <c r="BH20" s="297"/>
      <c r="BI20" s="297"/>
      <c r="BJ20" s="297"/>
      <c r="BK20" s="97"/>
      <c r="BL20" s="97"/>
      <c r="BM20" s="97"/>
      <c r="BN20" s="97"/>
    </row>
    <row r="21" spans="1:66" ht="12.75">
      <c r="A21" s="8"/>
      <c r="B21" s="8"/>
      <c r="C21" s="8"/>
      <c r="D21" s="299"/>
      <c r="E21" s="299"/>
      <c r="F21" s="299"/>
      <c r="G21" s="299"/>
      <c r="H21" s="299"/>
      <c r="I21" s="299"/>
      <c r="J21" s="299"/>
      <c r="K21" s="299"/>
      <c r="L21" s="299"/>
      <c r="M21" s="299"/>
      <c r="N21" s="299"/>
      <c r="O21" s="299"/>
      <c r="P21" s="300"/>
      <c r="Q21" s="299"/>
      <c r="R21" s="299"/>
      <c r="S21" s="299"/>
      <c r="T21" s="299"/>
      <c r="U21" s="299"/>
      <c r="V21" s="299"/>
      <c r="W21" s="299"/>
      <c r="X21" s="299"/>
      <c r="Y21" s="299"/>
      <c r="Z21" s="299"/>
      <c r="AA21" s="299"/>
      <c r="AB21" s="299"/>
      <c r="AC21" s="299"/>
      <c r="AD21" s="295"/>
      <c r="AE21" s="301"/>
      <c r="AF21" s="301"/>
      <c r="AG21" s="295"/>
      <c r="AH21" s="295"/>
      <c r="AI21" s="301"/>
      <c r="AJ21" s="301"/>
      <c r="AK21" s="301"/>
      <c r="AL21" s="301"/>
      <c r="AM21" s="301"/>
      <c r="AN21" s="301"/>
      <c r="AO21" s="295"/>
      <c r="AP21" s="296"/>
      <c r="AQ21" s="301"/>
      <c r="AR21" s="301"/>
      <c r="AS21" s="295"/>
      <c r="AT21" s="295"/>
      <c r="AU21" s="295"/>
      <c r="AV21" s="295"/>
      <c r="AW21" s="295"/>
      <c r="AX21" s="295"/>
      <c r="AY21" s="295"/>
      <c r="AZ21" s="295"/>
      <c r="BA21" s="301"/>
      <c r="BB21" s="301"/>
      <c r="BC21" s="301"/>
      <c r="BD21" s="296"/>
      <c r="BE21" s="296"/>
      <c r="BF21" s="297"/>
      <c r="BG21" s="297"/>
      <c r="BH21" s="297"/>
      <c r="BI21" s="297"/>
      <c r="BJ21" s="297"/>
      <c r="BK21" s="97"/>
      <c r="BL21" s="97"/>
      <c r="BM21" s="97"/>
      <c r="BN21" s="97"/>
    </row>
    <row r="22" spans="1:66" ht="12.75">
      <c r="A22" s="8"/>
      <c r="B22" s="8"/>
      <c r="C22" s="8"/>
      <c r="D22" s="299"/>
      <c r="E22" s="299"/>
      <c r="F22" s="299"/>
      <c r="G22" s="299"/>
      <c r="H22" s="299"/>
      <c r="I22" s="299"/>
      <c r="J22" s="299"/>
      <c r="K22" s="299"/>
      <c r="L22" s="299"/>
      <c r="M22" s="299"/>
      <c r="N22" s="299"/>
      <c r="O22" s="299"/>
      <c r="P22" s="300"/>
      <c r="Q22" s="299"/>
      <c r="R22" s="299"/>
      <c r="S22" s="299"/>
      <c r="T22" s="299"/>
      <c r="U22" s="299"/>
      <c r="V22" s="299"/>
      <c r="W22" s="299"/>
      <c r="X22" s="299"/>
      <c r="Y22" s="299"/>
      <c r="Z22" s="299"/>
      <c r="AA22" s="299"/>
      <c r="AB22" s="299"/>
      <c r="AC22" s="299"/>
      <c r="AD22" s="295"/>
      <c r="AE22" s="301"/>
      <c r="AF22" s="301"/>
      <c r="AG22" s="295"/>
      <c r="AH22" s="295"/>
      <c r="AI22" s="301"/>
      <c r="AJ22" s="301"/>
      <c r="AK22" s="301"/>
      <c r="AL22" s="301"/>
      <c r="AM22" s="301"/>
      <c r="AN22" s="301"/>
      <c r="AO22" s="295"/>
      <c r="AP22" s="296"/>
      <c r="AQ22" s="301"/>
      <c r="AR22" s="301"/>
      <c r="AS22" s="295"/>
      <c r="AT22" s="295"/>
      <c r="AU22" s="295"/>
      <c r="AV22" s="295"/>
      <c r="AW22" s="295"/>
      <c r="AX22" s="295"/>
      <c r="AY22" s="295"/>
      <c r="AZ22" s="295"/>
      <c r="BA22" s="301"/>
      <c r="BB22" s="301"/>
      <c r="BC22" s="301"/>
      <c r="BD22" s="296"/>
      <c r="BE22" s="296"/>
      <c r="BF22" s="297"/>
      <c r="BG22" s="297"/>
      <c r="BH22" s="297"/>
      <c r="BI22" s="297"/>
      <c r="BJ22" s="297"/>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8"/>
      <c r="C25" s="8"/>
      <c r="D25" s="299"/>
      <c r="E25" s="299"/>
      <c r="F25" s="299"/>
      <c r="G25" s="299"/>
      <c r="H25" s="299"/>
      <c r="I25" s="299"/>
      <c r="J25" s="299"/>
      <c r="K25" s="299"/>
      <c r="L25" s="299"/>
      <c r="M25" s="299"/>
      <c r="N25" s="299"/>
      <c r="O25" s="299"/>
      <c r="P25" s="300"/>
      <c r="Q25" s="299"/>
      <c r="R25" s="299"/>
      <c r="S25" s="299"/>
      <c r="T25" s="299"/>
      <c r="U25" s="299"/>
      <c r="V25" s="299"/>
      <c r="W25" s="299"/>
      <c r="X25" s="299"/>
      <c r="Y25" s="299"/>
      <c r="Z25" s="299"/>
      <c r="AA25" s="299"/>
      <c r="AB25" s="299"/>
      <c r="AC25" s="299"/>
      <c r="AD25" s="295"/>
      <c r="AE25" s="301"/>
      <c r="AF25" s="301"/>
      <c r="AG25" s="295"/>
      <c r="AH25" s="295"/>
      <c r="AI25" s="301"/>
      <c r="AJ25" s="301"/>
      <c r="AK25" s="301"/>
      <c r="AL25" s="301"/>
      <c r="AM25" s="301"/>
      <c r="AN25" s="301"/>
      <c r="AO25" s="295"/>
      <c r="AP25" s="296"/>
      <c r="AQ25" s="301"/>
      <c r="AR25" s="301"/>
      <c r="AS25" s="295"/>
      <c r="AT25" s="295"/>
      <c r="AU25" s="295"/>
      <c r="AV25" s="295"/>
      <c r="AW25" s="295"/>
      <c r="AX25" s="295"/>
      <c r="AY25" s="295"/>
      <c r="AZ25" s="295"/>
      <c r="BA25" s="301"/>
      <c r="BB25" s="301"/>
      <c r="BC25" s="301"/>
      <c r="BD25" s="296"/>
      <c r="BE25" s="296"/>
      <c r="BF25" s="297"/>
      <c r="BG25" s="297"/>
      <c r="BH25" s="297"/>
      <c r="BI25" s="297"/>
      <c r="BJ25" s="297"/>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299</v>
      </c>
      <c r="O4" s="75" t="s">
        <v>298</v>
      </c>
      <c r="P4" s="75" t="s">
        <v>424</v>
      </c>
      <c r="Q4" s="75" t="s">
        <v>425</v>
      </c>
      <c r="R4" s="75" t="s">
        <v>426</v>
      </c>
      <c r="S4" s="75" t="s">
        <v>427</v>
      </c>
      <c r="T4" s="39" t="s">
        <v>278</v>
      </c>
      <c r="U4" s="40" t="s">
        <v>279</v>
      </c>
      <c r="V4" s="41" t="s">
        <v>7</v>
      </c>
      <c r="W4" s="24" t="s">
        <v>2</v>
      </c>
      <c r="X4" s="24" t="s">
        <v>3</v>
      </c>
      <c r="Y4" s="75" t="s">
        <v>499</v>
      </c>
      <c r="Z4" s="75" t="s">
        <v>498</v>
      </c>
      <c r="AA4" s="26" t="s">
        <v>280</v>
      </c>
      <c r="AB4" s="24" t="s">
        <v>5</v>
      </c>
      <c r="AC4" s="75" t="s">
        <v>35</v>
      </c>
      <c r="AD4" s="24" t="s">
        <v>6</v>
      </c>
      <c r="AE4" s="24" t="s">
        <v>281</v>
      </c>
      <c r="AF4" s="24" t="s">
        <v>16</v>
      </c>
      <c r="AG4" s="24" t="s">
        <v>15</v>
      </c>
      <c r="AH4" s="24" t="s">
        <v>14</v>
      </c>
      <c r="AI4" s="25" t="s">
        <v>30</v>
      </c>
      <c r="AJ4" s="47" t="s">
        <v>10</v>
      </c>
      <c r="AK4" s="26" t="s">
        <v>21</v>
      </c>
      <c r="AL4" s="25" t="s">
        <v>22</v>
      </c>
      <c r="AQ4" s="102" t="s">
        <v>339</v>
      </c>
      <c r="AR4" s="102" t="s">
        <v>341</v>
      </c>
      <c r="AS4" s="102" t="s">
        <v>340</v>
      </c>
      <c r="AY4" s="102" t="s">
        <v>421</v>
      </c>
      <c r="AZ4" s="102" t="s">
        <v>422</v>
      </c>
      <c r="BA4" s="102" t="s">
        <v>423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362</v>
      </c>
      <c r="BA5" s="103" t="s">
        <v>294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347</v>
      </c>
      <c r="BA6" s="103" t="s">
        <v>294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569</v>
      </c>
      <c r="E7" s="38">
        <f>IF(LEFT(VLOOKUP($B7,'Indicator chart'!$D$1:$J$36,5,FALSE),1)=" "," ",VLOOKUP($B7,'Indicator chart'!$D$1:$J$36,5,FALSE))</f>
        <v>0.2077400511135451</v>
      </c>
      <c r="F7" s="38">
        <f>IF(LEFT(VLOOKUP($B7,'Indicator chart'!$D$1:$J$36,6,FALSE),1)=" "," ",VLOOKUP($B7,'Indicator chart'!$D$1:$J$36,6,FALSE))</f>
        <v>0.19296114761254013</v>
      </c>
      <c r="G7" s="38">
        <f>IF(LEFT(VLOOKUP($B7,'Indicator chart'!$D$1:$J$36,7,FALSE),1)=" "," ",VLOOKUP($B7,'Indicator chart'!$D$1:$J$36,7,FALSE))</f>
        <v>0.2233376280805221</v>
      </c>
      <c r="H7" s="50">
        <f aca="true" t="shared" si="0" ref="H7:H31">IF(LEFT(F7,1)=" ",4,IF(AND(ABS(N7-E7)&gt;SQRT((E7-G7)^2+(N7-R7)^2),E7&lt;N7),1,IF(AND(ABS(N7-E7)&gt;SQRT((E7-F7)^2+(N7-S7)^2),E7&gt;N7),3,2)))</f>
        <v>3</v>
      </c>
      <c r="I7" s="38">
        <v>0.16277223825454712</v>
      </c>
      <c r="J7" s="38">
        <v>0.17174853384494781</v>
      </c>
      <c r="K7" s="38">
        <v>0.19980019330978394</v>
      </c>
      <c r="L7" s="38">
        <v>0.21495230495929718</v>
      </c>
      <c r="M7" s="38">
        <v>0.23744292557239532</v>
      </c>
      <c r="N7" s="80">
        <f>VLOOKUP('Hide - Control'!B$3,'All practice data'!A:CA,A7+29,FALSE)</f>
        <v>0.18384856325752416</v>
      </c>
      <c r="O7" s="80">
        <f>VLOOKUP('Hide - Control'!C$3,'All practice data'!A:CA,A7+29,FALSE)</f>
        <v>0.1599882305185145</v>
      </c>
      <c r="P7" s="38">
        <f>VLOOKUP('Hide - Control'!$B$4,'All practice data'!B:BC,A7+2,FALSE)</f>
        <v>20250</v>
      </c>
      <c r="Q7" s="38">
        <f>VLOOKUP('Hide - Control'!$B$4,'All practice data'!B:BC,3,FALSE)</f>
        <v>110145</v>
      </c>
      <c r="R7" s="38">
        <f>+((2*P7+1.96^2-1.96*SQRT(1.96^2+4*P7*(1-P7/Q7)))/(2*(Q7+1.96^2)))</f>
        <v>0.18157195496213982</v>
      </c>
      <c r="S7" s="38">
        <f>+((2*P7+1.96^2+1.96*SQRT(1.96^2+4*P7*(1-P7/Q7)))/(2*(Q7+1.96^2)))</f>
        <v>0.18614722402920783</v>
      </c>
      <c r="T7" s="53">
        <f>IF($C7=1,M7,I7)</f>
        <v>0.23744292557239532</v>
      </c>
      <c r="U7" s="51">
        <f aca="true" t="shared" si="1" ref="U7:U15">IF($C7=1,I7,M7)</f>
        <v>0.16277223825454712</v>
      </c>
      <c r="V7" s="7">
        <v>1</v>
      </c>
      <c r="W7" s="27">
        <f aca="true" t="shared" si="2" ref="W7:W31">IF((K7-I7)&gt;(M7-K7),I7,(K7-(M7-K7)))</f>
        <v>0.16215746104717255</v>
      </c>
      <c r="X7" s="27">
        <f aca="true" t="shared" si="3" ref="X7:X31">IF(W7=I7,K7+(K7-I7),M7)</f>
        <v>0.23744292557239532</v>
      </c>
      <c r="Y7" s="27">
        <f aca="true" t="shared" si="4" ref="Y7:Y31">IF(C7=1,W7,X7)</f>
        <v>0.16215746104717255</v>
      </c>
      <c r="Z7" s="27">
        <f aca="true" t="shared" si="5" ref="Z7:Z31">IF(C7=1,X7,W7)</f>
        <v>0.23744292557239532</v>
      </c>
      <c r="AA7" s="32">
        <f aca="true" t="shared" si="6" ref="AA7:AA31">IF(ISERROR(IF(C7=1,(I7-$Y7)/($Z7-$Y7),(U7-$Y7)/($Z7-$Y7))),"",IF(C7=1,(I7-$Y7)/($Z7-$Y7),(U7-$Y7)/($Z7-$Y7)))</f>
        <v>0.00816594825112097</v>
      </c>
      <c r="AB7" s="33">
        <f aca="true" t="shared" si="7" ref="AB7:AB31">IF(ISERROR(IF(C7=1,(J7-$Y7)/($Z7-$Y7),(L7-$Y7)/($Z7-$Y7))),"",IF(C7=1,(J7-$Y7)/($Z7-$Y7),(L7-$Y7)/($Z7-$Y7)))</f>
        <v>0.12739607649710372</v>
      </c>
      <c r="AC7" s="33">
        <v>0.5</v>
      </c>
      <c r="AD7" s="33">
        <f aca="true" t="shared" si="8" ref="AD7:AD31">IF(ISERROR(IF(C7=1,(L7-$Y7)/($Z7-$Y7),(J7-$Y7)/($Z7-$Y7))),"",IF(C7=1,(L7-$Y7)/($Z7-$Y7),(J7-$Y7)/($Z7-$Y7)))</f>
        <v>0.7012621127473665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0.6054633567559523</v>
      </c>
      <c r="AI7" s="34">
        <f aca="true" t="shared" si="13" ref="AI7:AI31">IF(ISERROR((O7-$Y7)/($Z7-$Y7)),-999,(O7-$Y7)/($Z7-$Y7))</f>
        <v>-0.02881340431832365</v>
      </c>
      <c r="AJ7" s="4">
        <v>2.7020512924389086</v>
      </c>
      <c r="AK7" s="32">
        <f aca="true" t="shared" si="14" ref="AK7:AK31">IF(H7=1,(E7-$Y7)/($Z7-$Y7),-999)</f>
        <v>-999</v>
      </c>
      <c r="AL7" s="34">
        <f aca="true" t="shared" si="15" ref="AL7:AL31">IF(H7=3,(E7-$Y7)/($Z7-$Y7),-999)</f>
        <v>0.6054633567559523</v>
      </c>
      <c r="AQ7" s="103">
        <v>2</v>
      </c>
      <c r="AR7" s="103">
        <v>0.2422</v>
      </c>
      <c r="AS7" s="103">
        <v>7.2247</v>
      </c>
      <c r="AY7" s="103" t="s">
        <v>68</v>
      </c>
      <c r="AZ7" s="103" t="s">
        <v>346</v>
      </c>
      <c r="BA7" s="103" t="s">
        <v>294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0.07984865715126147</v>
      </c>
      <c r="G8" s="38">
        <f>IF(LEFT(VLOOKUP($B8,'Indicator chart'!$D$1:$J$36,7,FALSE),1)=" "," ",VLOOKUP($B8,'Indicator chart'!$D$1:$J$36,7,FALSE))</f>
        <v>0.10129982769015261</v>
      </c>
      <c r="H8" s="50">
        <f t="shared" si="0"/>
        <v>1</v>
      </c>
      <c r="I8" s="38">
        <v>0.09000000357627869</v>
      </c>
      <c r="J8" s="38">
        <v>0.0949999988079071</v>
      </c>
      <c r="K8" s="38">
        <v>0.11999999731779099</v>
      </c>
      <c r="L8" s="38">
        <v>0.14000000059604645</v>
      </c>
      <c r="M8" s="38">
        <v>0.18000000715255737</v>
      </c>
      <c r="N8" s="80">
        <f>VLOOKUP('Hide - Control'!B$3,'All practice data'!A:CA,A8+29,FALSE)</f>
        <v>0.1398718053474965</v>
      </c>
      <c r="O8" s="80">
        <f>VLOOKUP('Hide - Control'!C$3,'All practice data'!A:CA,A8+29,FALSE)</f>
        <v>0.15010930292554353</v>
      </c>
      <c r="P8" s="38">
        <f>VLOOKUP('Hide - Control'!$B$4,'All practice data'!B:BC,A8+2,FALSE)</f>
        <v>15406.180000000002</v>
      </c>
      <c r="Q8" s="38">
        <f>VLOOKUP('Hide - Control'!$B$4,'All practice data'!B:BC,3,FALSE)</f>
        <v>110145</v>
      </c>
      <c r="R8" s="38">
        <f>+((2*P8+1.96^2-1.96*SQRT(1.96^2+4*P8*(1-P8/Q8)))/(2*(Q8+1.96^2)))</f>
        <v>0.13783593617465303</v>
      </c>
      <c r="S8" s="38">
        <f>+((2*P8+1.96^2+1.96*SQRT(1.96^2+4*P8*(1-P8/Q8)))/(2*(Q8+1.96^2)))</f>
        <v>0.14193279450258367</v>
      </c>
      <c r="T8" s="53">
        <f aca="true" t="shared" si="16" ref="T8:T15">IF($C8=1,M8,I8)</f>
        <v>0.18000000715255737</v>
      </c>
      <c r="U8" s="51">
        <f t="shared" si="1"/>
        <v>0.09000000357627869</v>
      </c>
      <c r="V8" s="7"/>
      <c r="W8" s="27">
        <f t="shared" si="2"/>
        <v>0.0599999874830246</v>
      </c>
      <c r="X8" s="27">
        <f t="shared" si="3"/>
        <v>0.18000000715255737</v>
      </c>
      <c r="Y8" s="27">
        <f t="shared" si="4"/>
        <v>0.0599999874830246</v>
      </c>
      <c r="Z8" s="27">
        <f t="shared" si="5"/>
        <v>0.18000000715255737</v>
      </c>
      <c r="AA8" s="32">
        <f t="shared" si="6"/>
        <v>0.2500000931322422</v>
      </c>
      <c r="AB8" s="33">
        <f t="shared" si="7"/>
        <v>0.29166671323278776</v>
      </c>
      <c r="AC8" s="33">
        <v>0.5</v>
      </c>
      <c r="AD8" s="33">
        <f t="shared" si="8"/>
        <v>0.6666666666666666</v>
      </c>
      <c r="AE8" s="33">
        <f t="shared" si="9"/>
        <v>1</v>
      </c>
      <c r="AF8" s="33">
        <f t="shared" si="10"/>
        <v>-999</v>
      </c>
      <c r="AG8" s="33">
        <f t="shared" si="11"/>
        <v>-999</v>
      </c>
      <c r="AH8" s="33">
        <f t="shared" si="12"/>
        <v>0.25000006332992464</v>
      </c>
      <c r="AI8" s="34">
        <f t="shared" si="13"/>
        <v>0.7509108389371131</v>
      </c>
      <c r="AJ8" s="4">
        <v>3.778046717820832</v>
      </c>
      <c r="AK8" s="32">
        <f t="shared" si="14"/>
        <v>0.25000006332992464</v>
      </c>
      <c r="AL8" s="34">
        <f t="shared" si="15"/>
        <v>-999</v>
      </c>
      <c r="AQ8" s="103">
        <v>3</v>
      </c>
      <c r="AR8" s="103">
        <v>0.6187</v>
      </c>
      <c r="AS8" s="103">
        <v>8.7673</v>
      </c>
      <c r="AY8" s="103" t="s">
        <v>118</v>
      </c>
      <c r="AZ8" s="103" t="s">
        <v>119</v>
      </c>
      <c r="BA8" s="103" t="s">
        <v>294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730.1935012778387</v>
      </c>
      <c r="F9" s="38">
        <f>IF(LEFT(VLOOKUP($B9,'Indicator chart'!$D$1:$J$36,6,FALSE),1)=" "," ",VLOOKUP($B9,'Indicator chart'!$D$1:$J$36,6,FALSE))</f>
        <v>445.83106660735837</v>
      </c>
      <c r="G9" s="38">
        <f>IF(LEFT(VLOOKUP($B9,'Indicator chart'!$D$1:$J$36,7,FALSE),1)=" "," ",VLOOKUP($B9,'Indicator chart'!$D$1:$J$36,7,FALSE))</f>
        <v>1127.7872886554542</v>
      </c>
      <c r="H9" s="50">
        <f t="shared" si="0"/>
        <v>2</v>
      </c>
      <c r="I9" s="38">
        <v>329.57501220703125</v>
      </c>
      <c r="J9" s="38">
        <v>469.25408935546875</v>
      </c>
      <c r="K9" s="38">
        <v>596.9374389648438</v>
      </c>
      <c r="L9" s="38">
        <v>705.661865234375</v>
      </c>
      <c r="M9" s="38">
        <v>799.2008056640625</v>
      </c>
      <c r="N9" s="80">
        <f>VLOOKUP('Hide - Control'!B$3,'All practice data'!A:CA,A9+29,FALSE)</f>
        <v>530.2101774933043</v>
      </c>
      <c r="O9" s="80">
        <f>VLOOKUP('Hide - Control'!C$3,'All practice data'!A:CA,A9+29,FALSE)</f>
        <v>445.6198871279627</v>
      </c>
      <c r="P9" s="38">
        <f>VLOOKUP('Hide - Control'!$B$4,'All practice data'!B:BC,A9+2,FALSE)</f>
        <v>584</v>
      </c>
      <c r="Q9" s="38">
        <f>VLOOKUP('Hide - Control'!$B$4,'All practice data'!B:BC,3,FALSE)</f>
        <v>110145</v>
      </c>
      <c r="R9" s="38">
        <f>100000*(P9*(1-1/(9*P9)-1.96/(3*SQRT(P9)))^3)/Q9</f>
        <v>488.0729597128903</v>
      </c>
      <c r="S9" s="38">
        <f>100000*((P9+1)*(1-1/(9*(P9+1))+1.96/(3*SQRT(P9+1)))^3)/Q9</f>
        <v>575.0116839449116</v>
      </c>
      <c r="T9" s="53">
        <f t="shared" si="16"/>
        <v>799.2008056640625</v>
      </c>
      <c r="U9" s="51">
        <f t="shared" si="1"/>
        <v>329.57501220703125</v>
      </c>
      <c r="V9" s="7"/>
      <c r="W9" s="27">
        <f t="shared" si="2"/>
        <v>329.57501220703125</v>
      </c>
      <c r="X9" s="27">
        <f t="shared" si="3"/>
        <v>864.2998657226562</v>
      </c>
      <c r="Y9" s="27">
        <f t="shared" si="4"/>
        <v>329.57501220703125</v>
      </c>
      <c r="Z9" s="27">
        <f t="shared" si="5"/>
        <v>864.2998657226562</v>
      </c>
      <c r="AA9" s="32">
        <f t="shared" si="6"/>
        <v>0</v>
      </c>
      <c r="AB9" s="33">
        <f t="shared" si="7"/>
        <v>0.2612167289964127</v>
      </c>
      <c r="AC9" s="33">
        <v>0.5</v>
      </c>
      <c r="AD9" s="33">
        <f t="shared" si="8"/>
        <v>0.7033277966316825</v>
      </c>
      <c r="AE9" s="33">
        <f t="shared" si="9"/>
        <v>0.8782569023478324</v>
      </c>
      <c r="AF9" s="33">
        <f t="shared" si="10"/>
        <v>-999</v>
      </c>
      <c r="AG9" s="33">
        <f t="shared" si="11"/>
        <v>0.749204916204818</v>
      </c>
      <c r="AH9" s="33">
        <f t="shared" si="12"/>
        <v>-999</v>
      </c>
      <c r="AI9" s="34">
        <f t="shared" si="13"/>
        <v>0.21701791895023742</v>
      </c>
      <c r="AJ9" s="4">
        <v>4.854042143202755</v>
      </c>
      <c r="AK9" s="32">
        <f t="shared" si="14"/>
        <v>-999</v>
      </c>
      <c r="AL9" s="34">
        <f t="shared" si="15"/>
        <v>-999</v>
      </c>
      <c r="AQ9" s="103">
        <v>4</v>
      </c>
      <c r="AR9" s="103">
        <v>1.0899</v>
      </c>
      <c r="AS9" s="103">
        <v>10.2416</v>
      </c>
      <c r="AY9" s="103" t="s">
        <v>90</v>
      </c>
      <c r="AZ9" s="103" t="s">
        <v>356</v>
      </c>
      <c r="BA9" s="103" t="s">
        <v>294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511.13545089448706</v>
      </c>
      <c r="F10" s="38">
        <f>IF(LEFT(VLOOKUP($B10,'Indicator chart'!$D$1:$J$36,6,FALSE),1)=" "," ",VLOOKUP($B10,'Indicator chart'!$D$1:$J$36,6,FALSE))</f>
        <v>279.20557322906905</v>
      </c>
      <c r="G10" s="38">
        <f>IF(LEFT(VLOOKUP($B10,'Indicator chart'!$D$1:$J$36,7,FALSE),1)=" "," ",VLOOKUP($B10,'Indicator chart'!$D$1:$J$36,7,FALSE))</f>
        <v>857.6555636152885</v>
      </c>
      <c r="H10" s="50">
        <f t="shared" si="0"/>
        <v>2</v>
      </c>
      <c r="I10" s="38">
        <v>44.173431396484375</v>
      </c>
      <c r="J10" s="38">
        <v>272.2748718261719</v>
      </c>
      <c r="K10" s="38">
        <v>363.67901611328125</v>
      </c>
      <c r="L10" s="38">
        <v>416.60443115234375</v>
      </c>
      <c r="M10" s="38">
        <v>511.13543701171875</v>
      </c>
      <c r="N10" s="80">
        <f>VLOOKUP('Hide - Control'!B$3,'All practice data'!A:CA,A10+29,FALSE)</f>
        <v>315.9471605610786</v>
      </c>
      <c r="O10" s="80">
        <f>VLOOKUP('Hide - Control'!C$3,'All practice data'!A:CA,A10+29,FALSE)</f>
        <v>234.12259778895606</v>
      </c>
      <c r="P10" s="38">
        <f>VLOOKUP('Hide - Control'!$B$4,'All practice data'!B:BC,A10+2,FALSE)</f>
        <v>348</v>
      </c>
      <c r="Q10" s="38">
        <f>VLOOKUP('Hide - Control'!$B$4,'All practice data'!B:BC,3,FALSE)</f>
        <v>110145</v>
      </c>
      <c r="R10" s="38">
        <f>100000*(P10*(1-1/(9*P10)-1.96/(3*SQRT(P10)))^3)/Q10</f>
        <v>283.6188361548068</v>
      </c>
      <c r="S10" s="38">
        <f>100000*((P10+1)*(1-1/(9*(P10+1))+1.96/(3*SQRT(P10+1)))^3)/Q10</f>
        <v>350.9504169618515</v>
      </c>
      <c r="T10" s="53">
        <f t="shared" si="16"/>
        <v>511.13543701171875</v>
      </c>
      <c r="U10" s="51">
        <f t="shared" si="1"/>
        <v>44.173431396484375</v>
      </c>
      <c r="V10" s="7"/>
      <c r="W10" s="27">
        <f t="shared" si="2"/>
        <v>44.173431396484375</v>
      </c>
      <c r="X10" s="27">
        <f t="shared" si="3"/>
        <v>683.1846008300781</v>
      </c>
      <c r="Y10" s="27">
        <f t="shared" si="4"/>
        <v>44.173431396484375</v>
      </c>
      <c r="Z10" s="27">
        <f t="shared" si="5"/>
        <v>683.1846008300781</v>
      </c>
      <c r="AA10" s="32">
        <f t="shared" si="6"/>
        <v>0</v>
      </c>
      <c r="AB10" s="33">
        <f t="shared" si="7"/>
        <v>0.3569600209521719</v>
      </c>
      <c r="AC10" s="33">
        <v>0.5</v>
      </c>
      <c r="AD10" s="33">
        <f t="shared" si="8"/>
        <v>0.5828239279228475</v>
      </c>
      <c r="AE10" s="33">
        <f t="shared" si="9"/>
        <v>0.7307571885310546</v>
      </c>
      <c r="AF10" s="33">
        <f t="shared" si="10"/>
        <v>-999</v>
      </c>
      <c r="AG10" s="33">
        <f t="shared" si="11"/>
        <v>0.7307572102564469</v>
      </c>
      <c r="AH10" s="33">
        <f t="shared" si="12"/>
        <v>-999</v>
      </c>
      <c r="AI10" s="34">
        <f t="shared" si="13"/>
        <v>0.29725484542130726</v>
      </c>
      <c r="AJ10" s="4">
        <v>5.930037568584676</v>
      </c>
      <c r="AK10" s="32">
        <f t="shared" si="14"/>
        <v>-999</v>
      </c>
      <c r="AL10" s="34">
        <f t="shared" si="15"/>
        <v>-999</v>
      </c>
      <c r="AY10" s="103" t="s">
        <v>96</v>
      </c>
      <c r="AZ10" s="103" t="s">
        <v>97</v>
      </c>
      <c r="BA10" s="103" t="s">
        <v>473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43</v>
      </c>
      <c r="E11" s="38">
        <f>IF(LEFT(VLOOKUP($B11,'Indicator chart'!$D$1:$J$36,5,FALSE),1)=" "," ",VLOOKUP($B11,'Indicator chart'!$D$1:$J$36,5,FALSE))</f>
        <v>0.016</v>
      </c>
      <c r="F11" s="38">
        <f>IF(LEFT(VLOOKUP($B11,'Indicator chart'!$D$1:$J$36,6,FALSE),1)=" "," ",VLOOKUP($B11,'Indicator chart'!$D$1:$J$36,6,FALSE))</f>
        <v>0.011676083634933663</v>
      </c>
      <c r="G11" s="38">
        <f>IF(LEFT(VLOOKUP($B11,'Indicator chart'!$D$1:$J$36,7,FALSE),1)=" "," ",VLOOKUP($B11,'Indicator chart'!$D$1:$J$36,7,FALSE))</f>
        <v>0.02107885197636813</v>
      </c>
      <c r="H11" s="50">
        <f t="shared" si="0"/>
        <v>2</v>
      </c>
      <c r="I11" s="38">
        <v>0.006000000052154064</v>
      </c>
      <c r="J11" s="38">
        <v>0.014499999582767487</v>
      </c>
      <c r="K11" s="38">
        <v>0.01600000075995922</v>
      </c>
      <c r="L11" s="38">
        <v>0.01850000023841858</v>
      </c>
      <c r="M11" s="38">
        <v>0.024000000208616257</v>
      </c>
      <c r="N11" s="80">
        <f>VLOOKUP('Hide - Control'!B$3,'All practice data'!A:CA,A11+29,FALSE)</f>
        <v>0.016060647328521496</v>
      </c>
      <c r="O11" s="80">
        <f>VLOOKUP('Hide - Control'!C$3,'All practice data'!A:CA,A11+29,FALSE)</f>
        <v>0.015940726342527432</v>
      </c>
      <c r="P11" s="38">
        <f>VLOOKUP('Hide - Control'!$B$4,'All practice data'!B:BC,A11+2,FALSE)</f>
        <v>1769</v>
      </c>
      <c r="Q11" s="38">
        <f>VLOOKUP('Hide - Control'!$B$4,'All practice data'!B:BC,3,FALSE)</f>
        <v>110145</v>
      </c>
      <c r="R11" s="80">
        <f aca="true" t="shared" si="17" ref="R11:R16">+((2*P11+1.96^2-1.96*SQRT(1.96^2+4*P11*(1-P11/Q11)))/(2*(Q11+1.96^2)))</f>
        <v>0.01533494412604571</v>
      </c>
      <c r="S11" s="80">
        <f aca="true" t="shared" si="18" ref="S11:S16">+((2*P11+1.96^2+1.96*SQRT(1.96^2+4*P11*(1-P11/Q11)))/(2*(Q11+1.96^2)))</f>
        <v>0.01682010669929134</v>
      </c>
      <c r="T11" s="53">
        <f t="shared" si="16"/>
        <v>0.024000000208616257</v>
      </c>
      <c r="U11" s="51">
        <f t="shared" si="1"/>
        <v>0.006000000052154064</v>
      </c>
      <c r="V11" s="7"/>
      <c r="W11" s="27">
        <f t="shared" si="2"/>
        <v>0.006000000052154064</v>
      </c>
      <c r="X11" s="27">
        <f t="shared" si="3"/>
        <v>0.026000001467764378</v>
      </c>
      <c r="Y11" s="27">
        <f t="shared" si="4"/>
        <v>0.006000000052154064</v>
      </c>
      <c r="Z11" s="27">
        <f t="shared" si="5"/>
        <v>0.026000001467764378</v>
      </c>
      <c r="AA11" s="32">
        <f t="shared" si="6"/>
        <v>0</v>
      </c>
      <c r="AB11" s="33">
        <f t="shared" si="7"/>
        <v>0.4249999464489557</v>
      </c>
      <c r="AC11" s="33">
        <v>0.5</v>
      </c>
      <c r="AD11" s="33">
        <f t="shared" si="8"/>
        <v>0.6249999650754059</v>
      </c>
      <c r="AE11" s="33">
        <f t="shared" si="9"/>
        <v>0.8999999441206494</v>
      </c>
      <c r="AF11" s="33">
        <f t="shared" si="10"/>
        <v>-999</v>
      </c>
      <c r="AG11" s="33">
        <f t="shared" si="11"/>
        <v>0.49999996200204166</v>
      </c>
      <c r="AH11" s="33">
        <f t="shared" si="12"/>
        <v>-999</v>
      </c>
      <c r="AI11" s="34">
        <f t="shared" si="13"/>
        <v>0.49703627933818423</v>
      </c>
      <c r="AJ11" s="4">
        <v>7.0060329939666</v>
      </c>
      <c r="AK11" s="32">
        <f t="shared" si="14"/>
        <v>-999</v>
      </c>
      <c r="AL11" s="34">
        <f t="shared" si="15"/>
        <v>-999</v>
      </c>
      <c r="AY11" s="103" t="s">
        <v>214</v>
      </c>
      <c r="AZ11" s="103" t="s">
        <v>215</v>
      </c>
      <c r="BA11" s="103" t="s">
        <v>473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353</v>
      </c>
      <c r="E12" s="38">
        <f>IF(LEFT(VLOOKUP($B12,'Indicator chart'!$D$1:$J$36,5,FALSE),1)=" "," ",VLOOKUP($B12,'Indicator chart'!$D$1:$J$36,5,FALSE))</f>
        <v>0.789709</v>
      </c>
      <c r="F12" s="38">
        <f>IF(LEFT(VLOOKUP($B12,'Indicator chart'!$D$1:$J$36,6,FALSE),1)=" "," ",VLOOKUP($B12,'Indicator chart'!$D$1:$J$36,6,FALSE))</f>
        <v>0.7495423427729476</v>
      </c>
      <c r="G12" s="38">
        <f>IF(LEFT(VLOOKUP($B12,'Indicator chart'!$D$1:$J$36,7,FALSE),1)=" "," ",VLOOKUP($B12,'Indicator chart'!$D$1:$J$36,7,FALSE))</f>
        <v>0.8249388053730975</v>
      </c>
      <c r="H12" s="50">
        <f t="shared" si="0"/>
        <v>2</v>
      </c>
      <c r="I12" s="38">
        <v>0.6957399845123291</v>
      </c>
      <c r="J12" s="38">
        <v>0.7330085039138794</v>
      </c>
      <c r="K12" s="38">
        <v>0.7605929970741272</v>
      </c>
      <c r="L12" s="38">
        <v>0.7778415083885193</v>
      </c>
      <c r="M12" s="38">
        <v>0.8008469939231873</v>
      </c>
      <c r="N12" s="80">
        <f>VLOOKUP('Hide - Control'!B$3,'All practice data'!A:CA,A12+29,FALSE)</f>
        <v>0.7585170340681363</v>
      </c>
      <c r="O12" s="80">
        <f>VLOOKUP('Hide - Control'!C$3,'All practice data'!A:CA,A12+29,FALSE)</f>
        <v>0.7248631360507991</v>
      </c>
      <c r="P12" s="38">
        <f>VLOOKUP('Hide - Control'!$B$4,'All practice data'!B:BC,A12+2,FALSE)</f>
        <v>11355</v>
      </c>
      <c r="Q12" s="38">
        <f>VLOOKUP('Hide - Control'!$B$4,'All practice data'!B:BJ,57,FALSE)</f>
        <v>14970</v>
      </c>
      <c r="R12" s="38">
        <f t="shared" si="17"/>
        <v>0.751595264709039</v>
      </c>
      <c r="S12" s="38">
        <f t="shared" si="18"/>
        <v>0.7653061562329322</v>
      </c>
      <c r="T12" s="53">
        <f t="shared" si="16"/>
        <v>0.8008469939231873</v>
      </c>
      <c r="U12" s="51">
        <f t="shared" si="1"/>
        <v>0.6957399845123291</v>
      </c>
      <c r="V12" s="7"/>
      <c r="W12" s="27">
        <f t="shared" si="2"/>
        <v>0.6957399845123291</v>
      </c>
      <c r="X12" s="27">
        <f t="shared" si="3"/>
        <v>0.8254460096359253</v>
      </c>
      <c r="Y12" s="27">
        <f t="shared" si="4"/>
        <v>0.6957399845123291</v>
      </c>
      <c r="Z12" s="27">
        <f t="shared" si="5"/>
        <v>0.8254460096359253</v>
      </c>
      <c r="AA12" s="32">
        <f t="shared" si="6"/>
        <v>0</v>
      </c>
      <c r="AB12" s="33">
        <f t="shared" si="7"/>
        <v>0.28733067231099957</v>
      </c>
      <c r="AC12" s="33">
        <v>0.5</v>
      </c>
      <c r="AD12" s="33">
        <f t="shared" si="8"/>
        <v>0.6329815735079082</v>
      </c>
      <c r="AE12" s="33">
        <f t="shared" si="9"/>
        <v>0.8103479334186846</v>
      </c>
      <c r="AF12" s="33">
        <f t="shared" si="10"/>
        <v>-999</v>
      </c>
      <c r="AG12" s="33">
        <f t="shared" si="11"/>
        <v>0.7244768729758568</v>
      </c>
      <c r="AH12" s="33">
        <f t="shared" si="12"/>
        <v>-999</v>
      </c>
      <c r="AI12" s="34">
        <f t="shared" si="13"/>
        <v>0.22453198693521528</v>
      </c>
      <c r="AJ12" s="4">
        <v>8.082028419348523</v>
      </c>
      <c r="AK12" s="32">
        <f t="shared" si="14"/>
        <v>-999</v>
      </c>
      <c r="AL12" s="34">
        <f t="shared" si="15"/>
        <v>-999</v>
      </c>
      <c r="AY12" s="103" t="s">
        <v>261</v>
      </c>
      <c r="AZ12" s="103" t="s">
        <v>409</v>
      </c>
      <c r="BA12" s="103" t="s">
        <v>294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116</v>
      </c>
      <c r="E13" s="38">
        <f>IF(LEFT(VLOOKUP($B13,'Indicator chart'!$D$1:$J$36,5,FALSE),1)=" "," ",VLOOKUP($B13,'Indicator chart'!$D$1:$J$36,5,FALSE))</f>
        <v>0.805556</v>
      </c>
      <c r="F13" s="38">
        <f>IF(LEFT(VLOOKUP($B13,'Indicator chart'!$D$1:$J$36,6,FALSE),1)=" "," ",VLOOKUP($B13,'Indicator chart'!$D$1:$J$36,6,FALSE))</f>
        <v>0.7333262253288662</v>
      </c>
      <c r="G13" s="38">
        <f>IF(LEFT(VLOOKUP($B13,'Indicator chart'!$D$1:$J$36,7,FALSE),1)=" "," ",VLOOKUP($B13,'Indicator chart'!$D$1:$J$36,7,FALSE))</f>
        <v>0.861905428008219</v>
      </c>
      <c r="H13" s="50">
        <f t="shared" si="0"/>
        <v>2</v>
      </c>
      <c r="I13" s="38">
        <v>0.33333298563957214</v>
      </c>
      <c r="J13" s="38">
        <v>0.472727507352829</v>
      </c>
      <c r="K13" s="38">
        <v>0.7483969926834106</v>
      </c>
      <c r="L13" s="38">
        <v>0.7891414761543274</v>
      </c>
      <c r="M13" s="38">
        <v>0.9166669845581055</v>
      </c>
      <c r="N13" s="80">
        <f>VLOOKUP('Hide - Control'!B$3,'All practice data'!A:CA,A13+29,FALSE)</f>
        <v>0.7403603952722341</v>
      </c>
      <c r="O13" s="80">
        <f>VLOOKUP('Hide - Control'!C$3,'All practice data'!A:CA,A13+29,FALSE)</f>
        <v>0.7467412166569077</v>
      </c>
      <c r="P13" s="38">
        <f>VLOOKUP('Hide - Control'!$B$4,'All practice data'!B:BC,A13+2,FALSE)</f>
        <v>3821</v>
      </c>
      <c r="Q13" s="38">
        <f>VLOOKUP('Hide - Control'!$B$4,'All practice data'!B:BJ,58,FALSE)</f>
        <v>5161</v>
      </c>
      <c r="R13" s="38">
        <f t="shared" si="17"/>
        <v>0.7282229378659025</v>
      </c>
      <c r="S13" s="38">
        <f t="shared" si="18"/>
        <v>0.7521402934091864</v>
      </c>
      <c r="T13" s="53">
        <f t="shared" si="16"/>
        <v>0.9166669845581055</v>
      </c>
      <c r="U13" s="51">
        <f t="shared" si="1"/>
        <v>0.33333298563957214</v>
      </c>
      <c r="V13" s="7"/>
      <c r="W13" s="27">
        <f t="shared" si="2"/>
        <v>0.33333298563957214</v>
      </c>
      <c r="X13" s="27">
        <f t="shared" si="3"/>
        <v>1.1634609997272491</v>
      </c>
      <c r="Y13" s="27">
        <f t="shared" si="4"/>
        <v>0.33333298563957214</v>
      </c>
      <c r="Z13" s="27">
        <f t="shared" si="5"/>
        <v>1.1634609997272491</v>
      </c>
      <c r="AA13" s="32">
        <f t="shared" si="6"/>
        <v>0</v>
      </c>
      <c r="AB13" s="33">
        <f t="shared" si="7"/>
        <v>0.16791930804365576</v>
      </c>
      <c r="AC13" s="33">
        <v>0.5</v>
      </c>
      <c r="AD13" s="33">
        <f t="shared" si="8"/>
        <v>0.5490821689901594</v>
      </c>
      <c r="AE13" s="33">
        <f t="shared" si="9"/>
        <v>0.7027036662045746</v>
      </c>
      <c r="AF13" s="33">
        <f t="shared" si="10"/>
        <v>-999</v>
      </c>
      <c r="AG13" s="33">
        <f t="shared" si="11"/>
        <v>0.5688556540034467</v>
      </c>
      <c r="AH13" s="33">
        <f t="shared" si="12"/>
        <v>-999</v>
      </c>
      <c r="AI13" s="34">
        <f t="shared" si="13"/>
        <v>0.49800539676001343</v>
      </c>
      <c r="AJ13" s="4">
        <v>9.158023844730446</v>
      </c>
      <c r="AK13" s="32">
        <f t="shared" si="14"/>
        <v>-999</v>
      </c>
      <c r="AL13" s="34">
        <f t="shared" si="15"/>
        <v>-999</v>
      </c>
      <c r="AY13" s="103" t="s">
        <v>260</v>
      </c>
      <c r="AZ13" s="103" t="s">
        <v>408</v>
      </c>
      <c r="BA13" s="103" t="s">
        <v>294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528</v>
      </c>
      <c r="E14" s="38">
        <f>IF(LEFT(VLOOKUP($B14,'Indicator chart'!$D$1:$J$36,5,FALSE),1)=" "," ",VLOOKUP($B14,'Indicator chart'!$D$1:$J$36,5,FALSE))</f>
        <v>0.797583</v>
      </c>
      <c r="F14" s="38">
        <f>IF(LEFT(VLOOKUP($B14,'Indicator chart'!$D$1:$J$36,6,FALSE),1)=" "," ",VLOOKUP($B14,'Indicator chart'!$D$1:$J$36,6,FALSE))</f>
        <v>0.7652980879746307</v>
      </c>
      <c r="G14" s="38">
        <f>IF(LEFT(VLOOKUP($B14,'Indicator chart'!$D$1:$J$36,7,FALSE),1)=" "," ",VLOOKUP($B14,'Indicator chart'!$D$1:$J$36,7,FALSE))</f>
        <v>0.8264342399544143</v>
      </c>
      <c r="H14" s="50">
        <f t="shared" si="0"/>
        <v>2</v>
      </c>
      <c r="I14" s="38">
        <v>0.7296649813652039</v>
      </c>
      <c r="J14" s="38">
        <v>0.7826979756355286</v>
      </c>
      <c r="K14" s="38">
        <v>0.8083930015563965</v>
      </c>
      <c r="L14" s="38">
        <v>0.8449394702911377</v>
      </c>
      <c r="M14" s="38">
        <v>0.864952027797699</v>
      </c>
      <c r="N14" s="80">
        <f>VLOOKUP('Hide - Control'!B$3,'All practice data'!A:CA,A14+29,FALSE)</f>
        <v>0.7993051843933725</v>
      </c>
      <c r="O14" s="80">
        <f>VLOOKUP('Hide - Control'!C$3,'All practice data'!A:CA,A14+29,FALSE)</f>
        <v>0.7559681673907895</v>
      </c>
      <c r="P14" s="38">
        <f>VLOOKUP('Hide - Control'!$B$4,'All practice data'!B:BC,A14+2,FALSE)</f>
        <v>20937</v>
      </c>
      <c r="Q14" s="38">
        <f>VLOOKUP('Hide - Control'!$B$4,'All practice data'!B:BJ,59,FALSE)</f>
        <v>26194</v>
      </c>
      <c r="R14" s="38">
        <f t="shared" si="17"/>
        <v>0.7944110296341226</v>
      </c>
      <c r="S14" s="38">
        <f t="shared" si="18"/>
        <v>0.8041115601047206</v>
      </c>
      <c r="T14" s="53">
        <f t="shared" si="16"/>
        <v>0.864952027797699</v>
      </c>
      <c r="U14" s="51">
        <f t="shared" si="1"/>
        <v>0.7296649813652039</v>
      </c>
      <c r="V14" s="7"/>
      <c r="W14" s="27">
        <f t="shared" si="2"/>
        <v>0.7296649813652039</v>
      </c>
      <c r="X14" s="27">
        <f t="shared" si="3"/>
        <v>0.8871210217475891</v>
      </c>
      <c r="Y14" s="27">
        <f t="shared" si="4"/>
        <v>0.7296649813652039</v>
      </c>
      <c r="Z14" s="27">
        <f t="shared" si="5"/>
        <v>0.8871210217475891</v>
      </c>
      <c r="AA14" s="32">
        <f t="shared" si="6"/>
        <v>0</v>
      </c>
      <c r="AB14" s="33">
        <f t="shared" si="7"/>
        <v>0.33681143093356714</v>
      </c>
      <c r="AC14" s="33">
        <v>0.5</v>
      </c>
      <c r="AD14" s="33">
        <f t="shared" si="8"/>
        <v>0.7321058540910044</v>
      </c>
      <c r="AE14" s="33">
        <f t="shared" si="9"/>
        <v>0.8592051858026388</v>
      </c>
      <c r="AF14" s="33">
        <f t="shared" si="10"/>
        <v>-999</v>
      </c>
      <c r="AG14" s="33">
        <f t="shared" si="11"/>
        <v>0.43134590752984686</v>
      </c>
      <c r="AH14" s="33">
        <f t="shared" si="12"/>
        <v>-999</v>
      </c>
      <c r="AI14" s="34">
        <f t="shared" si="13"/>
        <v>0.16705098109737707</v>
      </c>
      <c r="AJ14" s="4">
        <v>10.234019270112368</v>
      </c>
      <c r="AK14" s="32">
        <f t="shared" si="14"/>
        <v>-999</v>
      </c>
      <c r="AL14" s="34">
        <f t="shared" si="15"/>
        <v>-999</v>
      </c>
      <c r="AY14" s="103" t="s">
        <v>53</v>
      </c>
      <c r="AZ14" s="103" t="s">
        <v>416</v>
      </c>
      <c r="BA14" s="103" t="s">
        <v>473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263</v>
      </c>
      <c r="E15" s="38">
        <f>IF(LEFT(VLOOKUP($B15,'Indicator chart'!$D$1:$J$36,5,FALSE),1)=" "," ",VLOOKUP($B15,'Indicator chart'!$D$1:$J$36,5,FALSE))</f>
        <v>0.589686</v>
      </c>
      <c r="F15" s="38">
        <f>IF(LEFT(VLOOKUP($B15,'Indicator chart'!$D$1:$J$36,6,FALSE),1)=" "," ",VLOOKUP($B15,'Indicator chart'!$D$1:$J$36,6,FALSE))</f>
        <v>0.5434573591024914</v>
      </c>
      <c r="G15" s="38">
        <f>IF(LEFT(VLOOKUP($B15,'Indicator chart'!$D$1:$J$36,7,FALSE),1)=" "," ",VLOOKUP($B15,'Indicator chart'!$D$1:$J$36,7,FALSE))</f>
        <v>0.6343830184881983</v>
      </c>
      <c r="H15" s="50">
        <f t="shared" si="0"/>
        <v>2</v>
      </c>
      <c r="I15" s="38">
        <v>0.5019609928131104</v>
      </c>
      <c r="J15" s="38">
        <v>0.558365523815155</v>
      </c>
      <c r="K15" s="38">
        <v>0.587270975112915</v>
      </c>
      <c r="L15" s="38">
        <v>0.5977684855461121</v>
      </c>
      <c r="M15" s="38">
        <v>0.6100429892539978</v>
      </c>
      <c r="N15" s="80">
        <f>VLOOKUP('Hide - Control'!B$3,'All practice data'!A:CA,A15+29,FALSE)</f>
        <v>0.5708436286621955</v>
      </c>
      <c r="O15" s="80">
        <f>VLOOKUP('Hide - Control'!C$3,'All practice data'!A:CA,A15+29,FALSE)</f>
        <v>0.5147293797466616</v>
      </c>
      <c r="P15" s="38">
        <f>VLOOKUP('Hide - Control'!$B$4,'All practice data'!B:BC,A15+2,FALSE)</f>
        <v>8086</v>
      </c>
      <c r="Q15" s="38">
        <f>VLOOKUP('Hide - Control'!$B$4,'All practice data'!B:BJ,60,FALSE)</f>
        <v>14165</v>
      </c>
      <c r="R15" s="38">
        <f t="shared" si="17"/>
        <v>0.5626744422590264</v>
      </c>
      <c r="S15" s="38">
        <f t="shared" si="18"/>
        <v>0.5789743993795167</v>
      </c>
      <c r="T15" s="53">
        <f t="shared" si="16"/>
        <v>0.6100429892539978</v>
      </c>
      <c r="U15" s="51">
        <f t="shared" si="1"/>
        <v>0.5019609928131104</v>
      </c>
      <c r="V15" s="7"/>
      <c r="W15" s="27">
        <f t="shared" si="2"/>
        <v>0.5019609928131104</v>
      </c>
      <c r="X15" s="27">
        <f t="shared" si="3"/>
        <v>0.6725809574127197</v>
      </c>
      <c r="Y15" s="27">
        <f t="shared" si="4"/>
        <v>0.5019609928131104</v>
      </c>
      <c r="Z15" s="27">
        <f t="shared" si="5"/>
        <v>0.6725809574127197</v>
      </c>
      <c r="AA15" s="32">
        <f t="shared" si="6"/>
        <v>0</v>
      </c>
      <c r="AB15" s="33">
        <f t="shared" si="7"/>
        <v>0.3305857619558656</v>
      </c>
      <c r="AC15" s="33">
        <v>0.5</v>
      </c>
      <c r="AD15" s="33">
        <f t="shared" si="8"/>
        <v>0.5615256863862991</v>
      </c>
      <c r="AE15" s="33">
        <f t="shared" si="9"/>
        <v>0.6334662927314597</v>
      </c>
      <c r="AF15" s="33">
        <f t="shared" si="10"/>
        <v>-999</v>
      </c>
      <c r="AG15" s="33">
        <f t="shared" si="11"/>
        <v>0.5141544097301409</v>
      </c>
      <c r="AH15" s="33">
        <f t="shared" si="12"/>
        <v>-999</v>
      </c>
      <c r="AI15" s="34">
        <f t="shared" si="13"/>
        <v>0.07483524547384904</v>
      </c>
      <c r="AJ15" s="4">
        <v>11.310014695494289</v>
      </c>
      <c r="AK15" s="32">
        <f t="shared" si="14"/>
        <v>-999</v>
      </c>
      <c r="AL15" s="34">
        <f t="shared" si="15"/>
        <v>-999</v>
      </c>
      <c r="AY15" s="103" t="s">
        <v>229</v>
      </c>
      <c r="AZ15" s="103" t="s">
        <v>230</v>
      </c>
      <c r="BA15" s="103" t="s">
        <v>294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63</v>
      </c>
      <c r="E16" s="38">
        <f>IF(LEFT(VLOOKUP($B16,'Indicator chart'!$D$1:$J$36,5,FALSE),1)=" "," ",VLOOKUP($B16,'Indicator chart'!$D$1:$J$36,5,FALSE))</f>
        <v>0.677419</v>
      </c>
      <c r="F16" s="38">
        <f>IF(LEFT(VLOOKUP($B16,'Indicator chart'!$D$1:$J$36,6,FALSE),1)=" "," ",VLOOKUP($B16,'Indicator chart'!$D$1:$J$36,6,FALSE))</f>
        <v>0.5770106827427647</v>
      </c>
      <c r="G16" s="38">
        <f>IF(LEFT(VLOOKUP($B16,'Indicator chart'!$D$1:$J$36,7,FALSE),1)=" "," ",VLOOKUP($B16,'Indicator chart'!$D$1:$J$36,7,FALSE))</f>
        <v>0.7637519647145264</v>
      </c>
      <c r="H16" s="50">
        <f t="shared" si="0"/>
        <v>2</v>
      </c>
      <c r="I16" s="38">
        <v>0.5094339847564697</v>
      </c>
      <c r="J16" s="38">
        <v>0.5766969919204712</v>
      </c>
      <c r="K16" s="38">
        <v>0.6168220043182373</v>
      </c>
      <c r="L16" s="38">
        <v>0.6408429741859436</v>
      </c>
      <c r="M16" s="38">
        <v>0.6774190068244934</v>
      </c>
      <c r="N16" s="80">
        <f>VLOOKUP('Hide - Control'!B$3,'All practice data'!A:CA,A16+29,FALSE)</f>
        <v>0.5995211014666267</v>
      </c>
      <c r="O16" s="80">
        <f>VLOOKUP('Hide - Control'!C$3,'All practice data'!A:CA,A16+29,FALSE)</f>
        <v>0.5752927626212945</v>
      </c>
      <c r="P16" s="38">
        <f>VLOOKUP('Hide - Control'!$B$4,'All practice data'!B:BC,A16+2,FALSE)</f>
        <v>2003</v>
      </c>
      <c r="Q16" s="38">
        <f>VLOOKUP('Hide - Control'!$B$4,'All practice data'!B:BJ,61,FALSE)</f>
        <v>3341</v>
      </c>
      <c r="R16" s="38">
        <f t="shared" si="17"/>
        <v>0.5828005857526932</v>
      </c>
      <c r="S16" s="38">
        <f t="shared" si="18"/>
        <v>0.6160130142695022</v>
      </c>
      <c r="T16" s="53">
        <f aca="true" t="shared" si="19" ref="T16:T31">IF($C16=1,M16,I16)</f>
        <v>0.6774190068244934</v>
      </c>
      <c r="U16" s="51">
        <f aca="true" t="shared" si="20" ref="U16:U31">IF($C16=1,I16,M16)</f>
        <v>0.5094339847564697</v>
      </c>
      <c r="V16" s="7"/>
      <c r="W16" s="27">
        <f t="shared" si="2"/>
        <v>0.5094339847564697</v>
      </c>
      <c r="X16" s="27">
        <f t="shared" si="3"/>
        <v>0.7242100238800049</v>
      </c>
      <c r="Y16" s="27">
        <f t="shared" si="4"/>
        <v>0.5094339847564697</v>
      </c>
      <c r="Z16" s="27">
        <f t="shared" si="5"/>
        <v>0.7242100238800049</v>
      </c>
      <c r="AA16" s="32">
        <f t="shared" si="6"/>
        <v>0</v>
      </c>
      <c r="AB16" s="33">
        <f t="shared" si="7"/>
        <v>0.3131774263017908</v>
      </c>
      <c r="AC16" s="33">
        <v>0.5</v>
      </c>
      <c r="AD16" s="33">
        <f t="shared" si="8"/>
        <v>0.6118419445936886</v>
      </c>
      <c r="AE16" s="33">
        <f t="shared" si="9"/>
        <v>0.7821404228960654</v>
      </c>
      <c r="AF16" s="33">
        <f t="shared" si="10"/>
        <v>-999</v>
      </c>
      <c r="AG16" s="33">
        <f t="shared" si="11"/>
        <v>0.7821403911211363</v>
      </c>
      <c r="AH16" s="33">
        <f t="shared" si="12"/>
        <v>-999</v>
      </c>
      <c r="AI16" s="34">
        <f t="shared" si="13"/>
        <v>0.3066393166276058</v>
      </c>
      <c r="AJ16" s="4">
        <v>12.386010120876215</v>
      </c>
      <c r="AK16" s="32">
        <f t="shared" si="14"/>
        <v>-999</v>
      </c>
      <c r="AL16" s="34">
        <f t="shared" si="15"/>
        <v>-999</v>
      </c>
      <c r="AY16" s="103" t="s">
        <v>293</v>
      </c>
      <c r="AZ16" s="103" t="s">
        <v>313</v>
      </c>
      <c r="BA16" s="103" t="s">
        <v>473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21</v>
      </c>
      <c r="E17" s="38">
        <f>IF(LEFT(VLOOKUP($B17,'Indicator chart'!$D$1:$J$36,5,FALSE),1)=" "," ",VLOOKUP($B17,'Indicator chart'!$D$1:$J$36,5,FALSE))</f>
        <v>766.7031763417306</v>
      </c>
      <c r="F17" s="38">
        <f>IF(LEFT(VLOOKUP($B17,'Indicator chart'!$D$1:$J$36,6,FALSE),1)=" "," ",VLOOKUP($B17,'Indicator chart'!$D$1:$J$36,6,FALSE))</f>
        <v>474.4168186291041</v>
      </c>
      <c r="G17" s="38">
        <f>IF(LEFT(VLOOKUP($B17,'Indicator chart'!$D$1:$J$36,7,FALSE),1)=" "," ",VLOOKUP($B17,'Indicator chart'!$D$1:$J$36,7,FALSE))</f>
        <v>1172.0502958779016</v>
      </c>
      <c r="H17" s="50">
        <f t="shared" si="0"/>
        <v>1</v>
      </c>
      <c r="I17" s="38">
        <v>766.7031860351562</v>
      </c>
      <c r="J17" s="38">
        <v>1216.01318359375</v>
      </c>
      <c r="K17" s="38">
        <v>1546.4307861328125</v>
      </c>
      <c r="L17" s="38">
        <v>1775.7945556640625</v>
      </c>
      <c r="M17" s="38">
        <v>1975.4404296875</v>
      </c>
      <c r="N17" s="80">
        <f>VLOOKUP('Hide - Control'!B$3,'All practice data'!A:CA,A17+29,FALSE)</f>
        <v>1556.1305551772664</v>
      </c>
      <c r="O17" s="80">
        <f>VLOOKUP('Hide - Control'!C$3,'All practice data'!A:CA,A17+29,FALSE)</f>
        <v>1812.1669120472948</v>
      </c>
      <c r="P17" s="38">
        <f>VLOOKUP('Hide - Control'!$B$4,'All practice data'!B:BC,A17+2,FALSE)</f>
        <v>1714</v>
      </c>
      <c r="Q17" s="38">
        <f>VLOOKUP('Hide - Control'!$B$4,'All practice data'!B:BC,3,FALSE)</f>
        <v>110145</v>
      </c>
      <c r="R17" s="38">
        <f>100000*(P17*(1-1/(9*P17)-1.96/(3*SQRT(P17)))^3)/Q17</f>
        <v>1483.322870753342</v>
      </c>
      <c r="S17" s="38">
        <f>100000*((P17+1)*(1-1/(9*(P17+1))+1.96/(3*SQRT(P17+1)))^3)/Q17</f>
        <v>1631.5874257668881</v>
      </c>
      <c r="T17" s="53">
        <f t="shared" si="19"/>
        <v>1975.4404296875</v>
      </c>
      <c r="U17" s="51">
        <f t="shared" si="20"/>
        <v>766.7031860351562</v>
      </c>
      <c r="V17" s="7"/>
      <c r="W17" s="27">
        <f t="shared" si="2"/>
        <v>766.7031860351562</v>
      </c>
      <c r="X17" s="27">
        <f t="shared" si="3"/>
        <v>2326.1583862304688</v>
      </c>
      <c r="Y17" s="27">
        <f t="shared" si="4"/>
        <v>766.7031860351562</v>
      </c>
      <c r="Z17" s="27">
        <f t="shared" si="5"/>
        <v>2326.1583862304688</v>
      </c>
      <c r="AA17" s="32">
        <f t="shared" si="6"/>
        <v>0</v>
      </c>
      <c r="AB17" s="33">
        <f t="shared" si="7"/>
        <v>0.2881198494848203</v>
      </c>
      <c r="AC17" s="33">
        <v>0.5</v>
      </c>
      <c r="AD17" s="33">
        <f t="shared" si="8"/>
        <v>0.6470794220331072</v>
      </c>
      <c r="AE17" s="33">
        <f t="shared" si="9"/>
        <v>0.7751022559038289</v>
      </c>
      <c r="AF17" s="33">
        <f t="shared" si="10"/>
        <v>-999</v>
      </c>
      <c r="AG17" s="33">
        <f t="shared" si="11"/>
        <v>-999</v>
      </c>
      <c r="AH17" s="33">
        <f t="shared" si="12"/>
        <v>-6.215905195914163E-09</v>
      </c>
      <c r="AI17" s="34">
        <f t="shared" si="13"/>
        <v>0.670403180470462</v>
      </c>
      <c r="AJ17" s="4">
        <v>13.462005546258133</v>
      </c>
      <c r="AK17" s="32">
        <f t="shared" si="14"/>
        <v>-6.215905195914163E-09</v>
      </c>
      <c r="AL17" s="34">
        <f t="shared" si="15"/>
        <v>-999</v>
      </c>
      <c r="AY17" s="103" t="s">
        <v>103</v>
      </c>
      <c r="AZ17" s="103" t="s">
        <v>104</v>
      </c>
      <c r="BA17" s="103" t="s">
        <v>294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21</v>
      </c>
      <c r="E18" s="80">
        <f>IF(LEFT(VLOOKUP($B18,'Indicator chart'!$D$1:$J$36,5,FALSE),1)=" "," ",VLOOKUP($B18,'Indicator chart'!$D$1:$J$36,5,FALSE))</f>
        <v>0.3477984619</v>
      </c>
      <c r="F18" s="81">
        <f>IF(LEFT(VLOOKUP($B18,'Indicator chart'!$D$1:$J$36,6,FALSE),1)=" "," ",VLOOKUP($B18,'Indicator chart'!$D$1:$J$36,6,FALSE))</f>
        <v>0.21529272079999998</v>
      </c>
      <c r="G18" s="38">
        <f>IF(LEFT(VLOOKUP($B18,'Indicator chart'!$D$1:$J$36,7,FALSE),1)=" "," ",VLOOKUP($B18,'Indicator chart'!$D$1:$J$36,7,FALSE))</f>
        <v>0.5316468811</v>
      </c>
      <c r="H18" s="50">
        <f>IF(LEFT(F18,1)=" ",4,IF(AND(ABS(N18-E18)&gt;SQRT((E18-G18)^2+(N18-R18)^2),E18&lt;N18),1,IF(AND(ABS(N18-E18)&gt;SQRT((E18-F18)^2+(N18-S18)^2),E18&gt;N18),3,2)))</f>
        <v>1</v>
      </c>
      <c r="I18" s="38">
        <v>0.3477984666824341</v>
      </c>
      <c r="J18" s="38"/>
      <c r="K18" s="38">
        <v>1</v>
      </c>
      <c r="L18" s="38"/>
      <c r="M18" s="38">
        <v>0.9964890480041504</v>
      </c>
      <c r="N18" s="80">
        <v>1</v>
      </c>
      <c r="O18" s="80">
        <f>VLOOKUP('Hide - Control'!C$3,'All practice data'!A:CA,A18+29,FALSE)</f>
        <v>1</v>
      </c>
      <c r="P18" s="38">
        <f>VLOOKUP('Hide - Control'!$B$4,'All practice data'!B:BC,A18+2,FALSE)</f>
        <v>1714</v>
      </c>
      <c r="Q18" s="38">
        <f>VLOOKUP('Hide - Control'!$B$4,'All practice data'!B:BC,14,FALSE)</f>
        <v>1714</v>
      </c>
      <c r="R18" s="81">
        <v>1</v>
      </c>
      <c r="S18" s="38">
        <v>1</v>
      </c>
      <c r="T18" s="53">
        <f t="shared" si="19"/>
        <v>0.9964890480041504</v>
      </c>
      <c r="U18" s="51">
        <f t="shared" si="20"/>
        <v>0.3477984666824341</v>
      </c>
      <c r="V18" s="7"/>
      <c r="W18" s="27">
        <f>IF((K18-I18)&gt;(M18-K18),I18,(K18-(M18-K18)))</f>
        <v>0.3477984666824341</v>
      </c>
      <c r="X18" s="27">
        <f t="shared" si="3"/>
        <v>1.652201533317566</v>
      </c>
      <c r="Y18" s="27">
        <f t="shared" si="4"/>
        <v>0.3477984666824341</v>
      </c>
      <c r="Z18" s="27">
        <f t="shared" si="5"/>
        <v>1.652201533317566</v>
      </c>
      <c r="AA18" s="32" t="s">
        <v>294</v>
      </c>
      <c r="AB18" s="33" t="s">
        <v>294</v>
      </c>
      <c r="AC18" s="33">
        <v>0.5</v>
      </c>
      <c r="AD18" s="33" t="s">
        <v>294</v>
      </c>
      <c r="AE18" s="33" t="s">
        <v>294</v>
      </c>
      <c r="AF18" s="33">
        <f t="shared" si="10"/>
        <v>-999</v>
      </c>
      <c r="AG18" s="33">
        <f t="shared" si="11"/>
        <v>-999</v>
      </c>
      <c r="AH18" s="33">
        <f t="shared" si="12"/>
        <v>-3.666377504168999E-09</v>
      </c>
      <c r="AI18" s="34">
        <v>0.5</v>
      </c>
      <c r="AJ18" s="4">
        <v>14.538000971640056</v>
      </c>
      <c r="AK18" s="32">
        <f t="shared" si="14"/>
        <v>-3.666377504168999E-09</v>
      </c>
      <c r="AL18" s="34">
        <f t="shared" si="15"/>
        <v>-999</v>
      </c>
      <c r="AY18" s="103" t="s">
        <v>105</v>
      </c>
      <c r="AZ18" s="103" t="s">
        <v>106</v>
      </c>
      <c r="BA18" s="103" t="s">
        <v>294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0.09761904925107956</v>
      </c>
      <c r="K19" s="38">
        <v>0.11851851642131805</v>
      </c>
      <c r="L19" s="38">
        <v>0.1634199172258377</v>
      </c>
      <c r="M19" s="38">
        <v>0.3333333432674408</v>
      </c>
      <c r="N19" s="80">
        <f>VLOOKUP('Hide - Control'!B$3,'All practice data'!A:CA,A19+29,FALSE)</f>
        <v>0.12135355892648775</v>
      </c>
      <c r="O19" s="80">
        <f>VLOOKUP('Hide - Control'!C$3,'All practice data'!A:CA,A19+29,FALSE)</f>
        <v>0.10919341638628717</v>
      </c>
      <c r="P19" s="38">
        <f>VLOOKUP('Hide - Control'!$B$4,'All practice data'!B:BC,A19+2,FALSE)</f>
        <v>208</v>
      </c>
      <c r="Q19" s="38">
        <f>VLOOKUP('Hide - Control'!$B$4,'All practice data'!B:BC,15,FALSE)</f>
        <v>1714</v>
      </c>
      <c r="R19" s="38">
        <f>+((2*P19+1.96^2-1.96*SQRT(1.96^2+4*P19*(1-P19/Q19)))/(2*(Q19+1.96^2)))</f>
        <v>0.10673532742874914</v>
      </c>
      <c r="S19" s="38">
        <f>+((2*P19+1.96^2+1.96*SQRT(1.96^2+4*P19*(1-P19/Q19)))/(2*(Q19+1.96^2)))</f>
        <v>0.13766532045403584</v>
      </c>
      <c r="T19" s="53">
        <f t="shared" si="19"/>
        <v>0.3333333432674408</v>
      </c>
      <c r="U19" s="51">
        <f t="shared" si="20"/>
        <v>0.02070442959666252</v>
      </c>
      <c r="V19" s="7"/>
      <c r="W19" s="27">
        <f t="shared" si="2"/>
        <v>-0.09629631042480469</v>
      </c>
      <c r="X19" s="27">
        <f t="shared" si="3"/>
        <v>0.3333333432674408</v>
      </c>
      <c r="Y19" s="27">
        <f t="shared" si="4"/>
        <v>-0.09629631042480469</v>
      </c>
      <c r="Z19" s="27">
        <f t="shared" si="5"/>
        <v>0.3333333432674408</v>
      </c>
      <c r="AA19" s="32">
        <f t="shared" si="6"/>
        <v>0.27232929341808837</v>
      </c>
      <c r="AB19" s="33">
        <f t="shared" si="7"/>
        <v>0.4513546912075829</v>
      </c>
      <c r="AC19" s="33">
        <v>0.5</v>
      </c>
      <c r="AD19" s="33">
        <f t="shared" si="8"/>
        <v>0.6045118753294522</v>
      </c>
      <c r="AE19" s="33">
        <f t="shared" si="9"/>
        <v>1</v>
      </c>
      <c r="AF19" s="33">
        <f t="shared" si="10"/>
        <v>-999</v>
      </c>
      <c r="AG19" s="33">
        <f t="shared" si="11"/>
        <v>-999</v>
      </c>
      <c r="AH19" s="33">
        <f t="shared" si="12"/>
        <v>-999</v>
      </c>
      <c r="AI19" s="34">
        <f t="shared" si="13"/>
        <v>0.4782950269961796</v>
      </c>
      <c r="AJ19" s="4">
        <v>15.61399639702198</v>
      </c>
      <c r="AK19" s="32">
        <f t="shared" si="14"/>
        <v>-999</v>
      </c>
      <c r="AL19" s="34">
        <f t="shared" si="15"/>
        <v>-999</v>
      </c>
      <c r="AY19" s="103" t="s">
        <v>270</v>
      </c>
      <c r="AZ19" s="103" t="s">
        <v>412</v>
      </c>
      <c r="BA19" s="103" t="s">
        <v>294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0.309883713722229</v>
      </c>
      <c r="K20" s="38">
        <v>0.39393940567970276</v>
      </c>
      <c r="L20" s="38">
        <v>0.45945945382118225</v>
      </c>
      <c r="M20" s="38">
        <v>0.6666666865348816</v>
      </c>
      <c r="N20" s="80">
        <f>VLOOKUP('Hide - Control'!B$3,'All practice data'!A:CA,A20+29,FALSE)</f>
        <v>0.37142857142857144</v>
      </c>
      <c r="O20" s="80">
        <f>VLOOKUP('Hide - Control'!C$3,'All practice data'!A:CA,A20+29,FALSE)</f>
        <v>0.4534552930810221</v>
      </c>
      <c r="P20" s="38">
        <f>VLOOKUP('Hide - Control'!$B$4,'All practice data'!B:BC,A20+1,FALSE)</f>
        <v>208</v>
      </c>
      <c r="Q20" s="38">
        <f>VLOOKUP('Hide - Control'!$B$4,'All practice data'!B:BC,A20+2,FALSE)</f>
        <v>560</v>
      </c>
      <c r="R20" s="38">
        <f>+((2*P20+1.96^2-1.96*SQRT(1.96^2+4*P20*(1-P20/Q20)))/(2*(Q20+1.96^2)))</f>
        <v>0.3324115146071355</v>
      </c>
      <c r="S20" s="38">
        <f>+((2*P20+1.96^2+1.96*SQRT(1.96^2+4*P20*(1-P20/Q20)))/(2*(Q20+1.96^2)))</f>
        <v>0.4121976096575516</v>
      </c>
      <c r="T20" s="53">
        <f t="shared" si="19"/>
        <v>0.6666666865348816</v>
      </c>
      <c r="U20" s="51">
        <f t="shared" si="20"/>
        <v>0.09238772839307785</v>
      </c>
      <c r="V20" s="7"/>
      <c r="W20" s="27">
        <f t="shared" si="2"/>
        <v>0.09238772839307785</v>
      </c>
      <c r="X20" s="27">
        <f t="shared" si="3"/>
        <v>0.6954910829663277</v>
      </c>
      <c r="Y20" s="27">
        <f t="shared" si="4"/>
        <v>0.09238772839307785</v>
      </c>
      <c r="Z20" s="27">
        <f t="shared" si="5"/>
        <v>0.6954910829663277</v>
      </c>
      <c r="AA20" s="32">
        <f t="shared" si="6"/>
        <v>0</v>
      </c>
      <c r="AB20" s="33">
        <f t="shared" si="7"/>
        <v>0.36062804771339607</v>
      </c>
      <c r="AC20" s="33">
        <v>0.5</v>
      </c>
      <c r="AD20" s="33">
        <f t="shared" si="8"/>
        <v>0.6086381756039823</v>
      </c>
      <c r="AE20" s="33">
        <f t="shared" si="9"/>
        <v>0.9522065393719424</v>
      </c>
      <c r="AF20" s="33">
        <f t="shared" si="10"/>
        <v>-999</v>
      </c>
      <c r="AG20" s="33">
        <f t="shared" si="11"/>
        <v>-999</v>
      </c>
      <c r="AH20" s="33">
        <f t="shared" si="12"/>
        <v>-999</v>
      </c>
      <c r="AI20" s="34">
        <f t="shared" si="13"/>
        <v>0.5986827331501617</v>
      </c>
      <c r="AJ20" s="4">
        <v>16.689991822403904</v>
      </c>
      <c r="AK20" s="32">
        <f t="shared" si="14"/>
        <v>-999</v>
      </c>
      <c r="AL20" s="34">
        <f t="shared" si="15"/>
        <v>-999</v>
      </c>
      <c r="AY20" s="103" t="s">
        <v>211</v>
      </c>
      <c r="AZ20" s="103" t="s">
        <v>393</v>
      </c>
      <c r="BA20" s="103" t="s">
        <v>294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387.27569580078125</v>
      </c>
      <c r="K21" s="38">
        <v>415.91046142578125</v>
      </c>
      <c r="L21" s="38">
        <v>490.1811218261719</v>
      </c>
      <c r="M21" s="38">
        <v>587.4550170898438</v>
      </c>
      <c r="N21" s="80">
        <f>VLOOKUP('Hide - Control'!B$3,'All practice data'!A:CA,A21+29,FALSE)</f>
        <v>407.64446865495484</v>
      </c>
      <c r="O21" s="80">
        <f>VLOOKUP('Hide - Control'!C$3,'All practice data'!A:CA,A21+29,FALSE)</f>
        <v>377.7293140102421</v>
      </c>
      <c r="P21" s="38">
        <f>VLOOKUP('Hide - Control'!$B$4,'All practice data'!B:BC,A21+2,FALSE)</f>
        <v>449</v>
      </c>
      <c r="Q21" s="38">
        <f>VLOOKUP('Hide - Control'!$B$4,'All practice data'!B:BC,3,FALSE)</f>
        <v>110145</v>
      </c>
      <c r="R21" s="38">
        <f aca="true" t="shared" si="21" ref="R21:R27">100000*(P21*(1-1/(9*P21)-1.96/(3*SQRT(P21)))^3)/Q21</f>
        <v>370.8045776238347</v>
      </c>
      <c r="S21" s="38">
        <f aca="true" t="shared" si="22" ref="S21:S27">100000*((P21+1)*(1-1/(9*(P21+1))+1.96/(3*SQRT(P21+1)))^3)/Q21</f>
        <v>447.1537166804596</v>
      </c>
      <c r="T21" s="53">
        <f t="shared" si="19"/>
        <v>587.4550170898438</v>
      </c>
      <c r="U21" s="51">
        <f t="shared" si="20"/>
        <v>61.46357345581055</v>
      </c>
      <c r="V21" s="7"/>
      <c r="W21" s="27">
        <f t="shared" si="2"/>
        <v>61.46357345581055</v>
      </c>
      <c r="X21" s="27">
        <f t="shared" si="3"/>
        <v>770.357349395752</v>
      </c>
      <c r="Y21" s="27">
        <f t="shared" si="4"/>
        <v>61.46357345581055</v>
      </c>
      <c r="Z21" s="27">
        <f t="shared" si="5"/>
        <v>770.357349395752</v>
      </c>
      <c r="AA21" s="32">
        <f t="shared" si="6"/>
        <v>0</v>
      </c>
      <c r="AB21" s="33">
        <f t="shared" si="7"/>
        <v>0.45960640846785206</v>
      </c>
      <c r="AC21" s="33">
        <v>0.5</v>
      </c>
      <c r="AD21" s="33">
        <f t="shared" si="8"/>
        <v>0.6047698017970509</v>
      </c>
      <c r="AE21" s="33">
        <f t="shared" si="9"/>
        <v>0.7419890842412983</v>
      </c>
      <c r="AF21" s="33">
        <f t="shared" si="10"/>
        <v>-999</v>
      </c>
      <c r="AG21" s="33">
        <f t="shared" si="11"/>
        <v>-999</v>
      </c>
      <c r="AH21" s="33">
        <f t="shared" si="12"/>
        <v>-999</v>
      </c>
      <c r="AI21" s="34">
        <f t="shared" si="13"/>
        <v>0.44613981852935053</v>
      </c>
      <c r="AJ21" s="4">
        <v>17.765987247785823</v>
      </c>
      <c r="AK21" s="32">
        <f t="shared" si="14"/>
        <v>-999</v>
      </c>
      <c r="AL21" s="34">
        <f t="shared" si="15"/>
        <v>-999</v>
      </c>
      <c r="AY21" s="103" t="s">
        <v>123</v>
      </c>
      <c r="AZ21" s="103" t="s">
        <v>367</v>
      </c>
      <c r="BA21" s="103" t="s">
        <v>294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157.59974670410156</v>
      </c>
      <c r="K22" s="38">
        <v>264.6702880859375</v>
      </c>
      <c r="L22" s="38">
        <v>371.88714599609375</v>
      </c>
      <c r="M22" s="38">
        <v>528.0433959960938</v>
      </c>
      <c r="N22" s="80">
        <f>VLOOKUP('Hide - Control'!B$3,'All practice data'!A:CA,A22+29,FALSE)</f>
        <v>307.77611330518863</v>
      </c>
      <c r="O22" s="80">
        <f>VLOOKUP('Hide - Control'!C$3,'All practice data'!A:CA,A22+29,FALSE)</f>
        <v>282.45290788403287</v>
      </c>
      <c r="P22" s="38">
        <f>VLOOKUP('Hide - Control'!$B$4,'All practice data'!B:BC,A22+2,FALSE)</f>
        <v>339</v>
      </c>
      <c r="Q22" s="38">
        <f>VLOOKUP('Hide - Control'!$B$4,'All practice data'!B:BC,3,FALSE)</f>
        <v>110145</v>
      </c>
      <c r="R22" s="38">
        <f t="shared" si="21"/>
        <v>275.87994768798427</v>
      </c>
      <c r="S22" s="38">
        <f t="shared" si="22"/>
        <v>342.34782441599856</v>
      </c>
      <c r="T22" s="53">
        <f t="shared" si="19"/>
        <v>528.0433959960938</v>
      </c>
      <c r="U22" s="51">
        <f t="shared" si="20"/>
        <v>18.07059669494629</v>
      </c>
      <c r="V22" s="7"/>
      <c r="W22" s="27">
        <f t="shared" si="2"/>
        <v>1.29718017578125</v>
      </c>
      <c r="X22" s="27">
        <f t="shared" si="3"/>
        <v>528.0433959960938</v>
      </c>
      <c r="Y22" s="27">
        <f t="shared" si="4"/>
        <v>1.29718017578125</v>
      </c>
      <c r="Z22" s="27">
        <f t="shared" si="5"/>
        <v>528.0433959960938</v>
      </c>
      <c r="AA22" s="32">
        <f t="shared" si="6"/>
        <v>0.03184344949311778</v>
      </c>
      <c r="AB22" s="33">
        <f t="shared" si="7"/>
        <v>0.2967322058211793</v>
      </c>
      <c r="AC22" s="33">
        <v>0.5</v>
      </c>
      <c r="AD22" s="33">
        <f t="shared" si="8"/>
        <v>0.7035455684160641</v>
      </c>
      <c r="AE22" s="33">
        <f t="shared" si="9"/>
        <v>1</v>
      </c>
      <c r="AF22" s="33">
        <f t="shared" si="10"/>
        <v>-999</v>
      </c>
      <c r="AG22" s="33">
        <f t="shared" si="11"/>
        <v>-999</v>
      </c>
      <c r="AH22" s="33">
        <f t="shared" si="12"/>
        <v>-999</v>
      </c>
      <c r="AI22" s="34">
        <f t="shared" si="13"/>
        <v>0.5337593688649517</v>
      </c>
      <c r="AJ22" s="4">
        <v>18.841982673167745</v>
      </c>
      <c r="AK22" s="32">
        <f t="shared" si="14"/>
        <v>-999</v>
      </c>
      <c r="AL22" s="34">
        <f t="shared" si="15"/>
        <v>-999</v>
      </c>
      <c r="AY22" s="103" t="s">
        <v>149</v>
      </c>
      <c r="AZ22" s="103" t="s">
        <v>377</v>
      </c>
      <c r="BA22" s="103" t="s">
        <v>294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23.746522903442383</v>
      </c>
      <c r="K23" s="38">
        <v>34.60506820678711</v>
      </c>
      <c r="L23" s="38">
        <v>45.00859832763672</v>
      </c>
      <c r="M23" s="38">
        <v>104.07632446289062</v>
      </c>
      <c r="N23" s="80">
        <f>VLOOKUP('Hide - Control'!B$3,'All practice data'!A:CA,A23+29,FALSE)</f>
        <v>36.31576558173317</v>
      </c>
      <c r="O23" s="80">
        <f>VLOOKUP('Hide - Control'!C$3,'All practice data'!A:CA,A23+29,FALSE)</f>
        <v>70.46674929228394</v>
      </c>
      <c r="P23" s="38">
        <f>VLOOKUP('Hide - Control'!$B$4,'All practice data'!B:BC,A23+2,FALSE)</f>
        <v>40</v>
      </c>
      <c r="Q23" s="38">
        <f>VLOOKUP('Hide - Control'!$B$4,'All practice data'!B:BC,3,FALSE)</f>
        <v>110145</v>
      </c>
      <c r="R23" s="38">
        <f t="shared" si="21"/>
        <v>25.941366241565145</v>
      </c>
      <c r="S23" s="38">
        <f t="shared" si="22"/>
        <v>49.45333697971412</v>
      </c>
      <c r="T23" s="53">
        <f t="shared" si="19"/>
        <v>104.07632446289062</v>
      </c>
      <c r="U23" s="51">
        <f t="shared" si="20"/>
        <v>3.248678207397461</v>
      </c>
      <c r="V23" s="7"/>
      <c r="W23" s="27">
        <f t="shared" si="2"/>
        <v>-34.866188049316406</v>
      </c>
      <c r="X23" s="27">
        <f t="shared" si="3"/>
        <v>104.07632446289062</v>
      </c>
      <c r="Y23" s="27">
        <f t="shared" si="4"/>
        <v>-34.866188049316406</v>
      </c>
      <c r="Z23" s="27">
        <f t="shared" si="5"/>
        <v>104.07632446289062</v>
      </c>
      <c r="AA23" s="32">
        <f t="shared" si="6"/>
        <v>0.2743211243813172</v>
      </c>
      <c r="AB23" s="33">
        <f t="shared" si="7"/>
        <v>0.421848647278559</v>
      </c>
      <c r="AC23" s="33">
        <v>0.5</v>
      </c>
      <c r="AD23" s="33">
        <f t="shared" si="8"/>
        <v>0.5748765077926425</v>
      </c>
      <c r="AE23" s="33">
        <f t="shared" si="9"/>
        <v>1</v>
      </c>
      <c r="AF23" s="33">
        <f t="shared" si="10"/>
        <v>-999</v>
      </c>
      <c r="AG23" s="33">
        <f t="shared" si="11"/>
        <v>-999</v>
      </c>
      <c r="AH23" s="33">
        <f t="shared" si="12"/>
        <v>-999</v>
      </c>
      <c r="AI23" s="34">
        <f t="shared" si="13"/>
        <v>0.758104452244925</v>
      </c>
      <c r="AJ23" s="4">
        <v>19.917978098549675</v>
      </c>
      <c r="AK23" s="32">
        <f t="shared" si="14"/>
        <v>-999</v>
      </c>
      <c r="AL23" s="34">
        <f t="shared" si="15"/>
        <v>-999</v>
      </c>
      <c r="AY23" s="103" t="s">
        <v>264</v>
      </c>
      <c r="AZ23" s="103" t="s">
        <v>265</v>
      </c>
      <c r="BA23" s="103" t="s">
        <v>294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180.3293914794922</v>
      </c>
      <c r="K24" s="38">
        <v>222.90003967285156</v>
      </c>
      <c r="L24" s="38">
        <v>279.2568664550781</v>
      </c>
      <c r="M24" s="38">
        <v>354.70196533203125</v>
      </c>
      <c r="N24" s="80">
        <f>VLOOKUP('Hide - Control'!B$3,'All practice data'!A:CA,A24+29,FALSE)</f>
        <v>248.76299423487222</v>
      </c>
      <c r="O24" s="80">
        <f>VLOOKUP('Hide - Control'!C$3,'All practice data'!A:CA,A24+29,FALSE)</f>
        <v>323.23046266988894</v>
      </c>
      <c r="P24" s="38">
        <f>VLOOKUP('Hide - Control'!$B$4,'All practice data'!B:BC,A24+2,FALSE)</f>
        <v>274</v>
      </c>
      <c r="Q24" s="38">
        <f>VLOOKUP('Hide - Control'!$B$4,'All practice data'!B:BC,3,FALSE)</f>
        <v>110145</v>
      </c>
      <c r="R24" s="38">
        <f t="shared" si="21"/>
        <v>220.17568047595225</v>
      </c>
      <c r="S24" s="38">
        <f t="shared" si="22"/>
        <v>280.03113816747253</v>
      </c>
      <c r="T24" s="53">
        <f t="shared" si="19"/>
        <v>354.70196533203125</v>
      </c>
      <c r="U24" s="51">
        <f t="shared" si="20"/>
        <v>27.3076171875</v>
      </c>
      <c r="V24" s="7"/>
      <c r="W24" s="27">
        <f t="shared" si="2"/>
        <v>27.3076171875</v>
      </c>
      <c r="X24" s="27">
        <f t="shared" si="3"/>
        <v>418.4924621582031</v>
      </c>
      <c r="Y24" s="27">
        <f t="shared" si="4"/>
        <v>27.3076171875</v>
      </c>
      <c r="Z24" s="27">
        <f t="shared" si="5"/>
        <v>418.4924621582031</v>
      </c>
      <c r="AA24" s="32">
        <f t="shared" si="6"/>
        <v>0</v>
      </c>
      <c r="AB24" s="33">
        <f t="shared" si="7"/>
        <v>0.39117510879914685</v>
      </c>
      <c r="AC24" s="33">
        <v>0.5</v>
      </c>
      <c r="AD24" s="33">
        <f t="shared" si="8"/>
        <v>0.6440669992889098</v>
      </c>
      <c r="AE24" s="33">
        <f t="shared" si="9"/>
        <v>0.8369300405005482</v>
      </c>
      <c r="AF24" s="33">
        <f t="shared" si="10"/>
        <v>-999</v>
      </c>
      <c r="AG24" s="33">
        <f t="shared" si="11"/>
        <v>-999</v>
      </c>
      <c r="AH24" s="33">
        <f t="shared" si="12"/>
        <v>-999</v>
      </c>
      <c r="AI24" s="34">
        <f t="shared" si="13"/>
        <v>0.756478297375123</v>
      </c>
      <c r="AJ24" s="4">
        <v>20.99397352393159</v>
      </c>
      <c r="AK24" s="32">
        <f t="shared" si="14"/>
        <v>-999</v>
      </c>
      <c r="AL24" s="34">
        <f t="shared" si="15"/>
        <v>-999</v>
      </c>
      <c r="AY24" s="103" t="s">
        <v>65</v>
      </c>
      <c r="AZ24" s="103" t="s">
        <v>66</v>
      </c>
      <c r="BA24" s="103" t="s">
        <v>473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657.1741511500547</v>
      </c>
      <c r="F25" s="38">
        <f>IF(LEFT(VLOOKUP($B25,'Indicator chart'!$D$1:$J$36,6,FALSE),1)=" "," ",VLOOKUP($B25,'Indicator chart'!$D$1:$J$36,6,FALSE))</f>
        <v>389.2802843256917</v>
      </c>
      <c r="G25" s="38">
        <f>IF(LEFT(VLOOKUP($B25,'Indicator chart'!$D$1:$J$36,7,FALSE),1)=" "," ",VLOOKUP($B25,'Indicator chart'!$D$1:$J$36,7,FALSE))</f>
        <v>1038.6800065987416</v>
      </c>
      <c r="H25" s="50">
        <f t="shared" si="0"/>
        <v>2</v>
      </c>
      <c r="I25" s="38">
        <v>587.4550170898438</v>
      </c>
      <c r="J25" s="38">
        <v>820.2096557617188</v>
      </c>
      <c r="K25" s="38">
        <v>915.0633544921875</v>
      </c>
      <c r="L25" s="38">
        <v>1007.6492309570312</v>
      </c>
      <c r="M25" s="38">
        <v>1127.4439697265625</v>
      </c>
      <c r="N25" s="80">
        <f>VLOOKUP('Hide - Control'!B$3,'All practice data'!A:CA,A25+29,FALSE)</f>
        <v>946.9335875436924</v>
      </c>
      <c r="O25" s="80">
        <f>VLOOKUP('Hide - Control'!C$3,'All practice data'!A:CA,A25+29,FALSE)</f>
        <v>562.6134400960308</v>
      </c>
      <c r="P25" s="38">
        <f>VLOOKUP('Hide - Control'!$B$4,'All practice data'!B:BC,A25+2,FALSE)</f>
        <v>1043</v>
      </c>
      <c r="Q25" s="38">
        <f>VLOOKUP('Hide - Control'!$B$4,'All practice data'!B:BC,3,FALSE)</f>
        <v>110145</v>
      </c>
      <c r="R25" s="38">
        <f t="shared" si="21"/>
        <v>890.328884030672</v>
      </c>
      <c r="S25" s="38">
        <f t="shared" si="22"/>
        <v>1006.1934620687674</v>
      </c>
      <c r="T25" s="53">
        <f t="shared" si="19"/>
        <v>1127.4439697265625</v>
      </c>
      <c r="U25" s="51">
        <f t="shared" si="20"/>
        <v>587.4550170898438</v>
      </c>
      <c r="V25" s="7"/>
      <c r="W25" s="27">
        <f t="shared" si="2"/>
        <v>587.4550170898438</v>
      </c>
      <c r="X25" s="27">
        <f t="shared" si="3"/>
        <v>1242.6716918945312</v>
      </c>
      <c r="Y25" s="27">
        <f t="shared" si="4"/>
        <v>587.4550170898438</v>
      </c>
      <c r="Z25" s="27">
        <f t="shared" si="5"/>
        <v>1242.6716918945312</v>
      </c>
      <c r="AA25" s="32">
        <f t="shared" si="6"/>
        <v>0</v>
      </c>
      <c r="AB25" s="33">
        <f t="shared" si="7"/>
        <v>0.35523308185228414</v>
      </c>
      <c r="AC25" s="33">
        <v>0.5</v>
      </c>
      <c r="AD25" s="33">
        <f t="shared" si="8"/>
        <v>0.6413057390403603</v>
      </c>
      <c r="AE25" s="33">
        <f t="shared" si="9"/>
        <v>0.8241379888533563</v>
      </c>
      <c r="AF25" s="33">
        <f t="shared" si="10"/>
        <v>-999</v>
      </c>
      <c r="AG25" s="33">
        <f t="shared" si="11"/>
        <v>0.10640622673559622</v>
      </c>
      <c r="AH25" s="33">
        <f t="shared" si="12"/>
        <v>-999</v>
      </c>
      <c r="AI25" s="34">
        <f t="shared" si="13"/>
        <v>-0.03791352990400916</v>
      </c>
      <c r="AJ25" s="4">
        <v>22.06996894931352</v>
      </c>
      <c r="AK25" s="32">
        <f t="shared" si="14"/>
        <v>-999</v>
      </c>
      <c r="AL25" s="34">
        <f t="shared" si="15"/>
        <v>-999</v>
      </c>
      <c r="AY25" s="103" t="s">
        <v>257</v>
      </c>
      <c r="AZ25" s="103" t="s">
        <v>258</v>
      </c>
      <c r="BA25" s="103" t="s">
        <v>473</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109.64912414550781</v>
      </c>
      <c r="J26" s="38">
        <v>79.03763580322266</v>
      </c>
      <c r="K26" s="38">
        <v>121.42237854003906</v>
      </c>
      <c r="L26" s="38">
        <v>147.06236267089844</v>
      </c>
      <c r="M26" s="38">
        <v>175.97372436523438</v>
      </c>
      <c r="N26" s="80">
        <f>VLOOKUP('Hide - Control'!B$3,'All practice data'!A:CA,A26+29,FALSE)</f>
        <v>128.01307367560943</v>
      </c>
      <c r="O26" s="80">
        <f>VLOOKUP('Hide - Control'!C$3,'All practice data'!A:CA,A26+29,FALSE)</f>
        <v>405.57105879375996</v>
      </c>
      <c r="P26" s="38">
        <f>VLOOKUP('Hide - Control'!$B$4,'All practice data'!B:BC,A26+2,FALSE)</f>
        <v>141</v>
      </c>
      <c r="Q26" s="38">
        <f>VLOOKUP('Hide - Control'!$B$4,'All practice data'!B:BC,3,FALSE)</f>
        <v>110145</v>
      </c>
      <c r="R26" s="38">
        <f t="shared" si="21"/>
        <v>107.75425460448676</v>
      </c>
      <c r="S26" s="38">
        <f t="shared" si="22"/>
        <v>150.97318990543823</v>
      </c>
      <c r="T26" s="53">
        <f t="shared" si="19"/>
        <v>175.97372436523438</v>
      </c>
      <c r="U26" s="51">
        <f t="shared" si="20"/>
        <v>109.64912414550781</v>
      </c>
      <c r="V26" s="7"/>
      <c r="W26" s="27">
        <f t="shared" si="2"/>
        <v>66.87103271484375</v>
      </c>
      <c r="X26" s="27">
        <f t="shared" si="3"/>
        <v>175.97372436523438</v>
      </c>
      <c r="Y26" s="27">
        <f t="shared" si="4"/>
        <v>66.87103271484375</v>
      </c>
      <c r="Z26" s="27">
        <f t="shared" si="5"/>
        <v>175.97372436523438</v>
      </c>
      <c r="AA26" s="32">
        <f t="shared" si="6"/>
        <v>0.3920901563798486</v>
      </c>
      <c r="AB26" s="33">
        <f t="shared" si="7"/>
        <v>0.11151515058277066</v>
      </c>
      <c r="AC26" s="33">
        <v>0.5</v>
      </c>
      <c r="AD26" s="33">
        <f t="shared" si="8"/>
        <v>0.7350078054262887</v>
      </c>
      <c r="AE26" s="33">
        <f t="shared" si="9"/>
        <v>1</v>
      </c>
      <c r="AF26" s="33">
        <f t="shared" si="10"/>
        <v>-999</v>
      </c>
      <c r="AG26" s="33">
        <f t="shared" si="11"/>
        <v>-999</v>
      </c>
      <c r="AH26" s="33">
        <f t="shared" si="12"/>
        <v>-999</v>
      </c>
      <c r="AI26" s="34">
        <f t="shared" si="13"/>
        <v>3.1044149411478204</v>
      </c>
      <c r="AJ26" s="4">
        <v>23.145964374695435</v>
      </c>
      <c r="AK26" s="32">
        <f t="shared" si="14"/>
        <v>-999</v>
      </c>
      <c r="AL26" s="34">
        <f t="shared" si="15"/>
        <v>-999</v>
      </c>
      <c r="AY26" s="103" t="s">
        <v>120</v>
      </c>
      <c r="AZ26" s="103" t="s">
        <v>366</v>
      </c>
      <c r="BA26" s="103" t="s">
        <v>294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1168.3096020445419</v>
      </c>
      <c r="F27" s="38">
        <f>IF(LEFT(VLOOKUP($B27,'Indicator chart'!$D$1:$J$36,6,FALSE),1)=" "," ",VLOOKUP($B27,'Indicator chart'!$D$1:$J$36,6,FALSE))</f>
        <v>798.9791829979999</v>
      </c>
      <c r="G27" s="38">
        <f>IF(LEFT(VLOOKUP($B27,'Indicator chart'!$D$1:$J$36,7,FALSE),1)=" "," ",VLOOKUP($B27,'Indicator chart'!$D$1:$J$36,7,FALSE))</f>
        <v>1649.368557439102</v>
      </c>
      <c r="H27" s="50">
        <f t="shared" si="0"/>
        <v>2</v>
      </c>
      <c r="I27" s="38">
        <v>776.9566040039062</v>
      </c>
      <c r="J27" s="38">
        <v>1054.20556640625</v>
      </c>
      <c r="K27" s="38">
        <v>1179.604248046875</v>
      </c>
      <c r="L27" s="38">
        <v>1352.7650146484375</v>
      </c>
      <c r="M27" s="38">
        <v>1393.2459716796875</v>
      </c>
      <c r="N27" s="80">
        <f>VLOOKUP('Hide - Control'!B$3,'All practice data'!A:CA,A27+29,FALSE)</f>
        <v>1217.4860411276045</v>
      </c>
      <c r="O27" s="80">
        <f>VLOOKUP('Hide - Control'!C$3,'All practice data'!A:CA,A27+29,FALSE)</f>
        <v>1059.3522061277838</v>
      </c>
      <c r="P27" s="38">
        <f>VLOOKUP('Hide - Control'!$B$4,'All practice data'!B:BC,A27+2,FALSE)</f>
        <v>1341</v>
      </c>
      <c r="Q27" s="38">
        <f>VLOOKUP('Hide - Control'!$B$4,'All practice data'!B:BC,3,FALSE)</f>
        <v>110145</v>
      </c>
      <c r="R27" s="38">
        <f t="shared" si="21"/>
        <v>1153.186120735702</v>
      </c>
      <c r="S27" s="38">
        <f t="shared" si="22"/>
        <v>1284.4379214591731</v>
      </c>
      <c r="T27" s="53">
        <f t="shared" si="19"/>
        <v>1393.2459716796875</v>
      </c>
      <c r="U27" s="51">
        <f t="shared" si="20"/>
        <v>776.9566040039062</v>
      </c>
      <c r="V27" s="7"/>
      <c r="W27" s="27">
        <f t="shared" si="2"/>
        <v>776.9566040039062</v>
      </c>
      <c r="X27" s="27">
        <f t="shared" si="3"/>
        <v>1582.2518920898438</v>
      </c>
      <c r="Y27" s="27">
        <f t="shared" si="4"/>
        <v>776.9566040039062</v>
      </c>
      <c r="Z27" s="27">
        <f t="shared" si="5"/>
        <v>1582.2518920898438</v>
      </c>
      <c r="AA27" s="32">
        <f t="shared" si="6"/>
        <v>0</v>
      </c>
      <c r="AB27" s="33">
        <f t="shared" si="7"/>
        <v>0.3442823601530337</v>
      </c>
      <c r="AC27" s="33">
        <v>0.5</v>
      </c>
      <c r="AD27" s="33">
        <f t="shared" si="8"/>
        <v>0.7150276664515682</v>
      </c>
      <c r="AE27" s="33">
        <f t="shared" si="9"/>
        <v>0.7652961302438586</v>
      </c>
      <c r="AF27" s="33">
        <f t="shared" si="10"/>
        <v>-999</v>
      </c>
      <c r="AG27" s="33">
        <f t="shared" si="11"/>
        <v>0.4859745286363481</v>
      </c>
      <c r="AH27" s="33">
        <f t="shared" si="12"/>
        <v>-999</v>
      </c>
      <c r="AI27" s="34">
        <f t="shared" si="13"/>
        <v>0.35067335709251235</v>
      </c>
      <c r="AJ27" s="4">
        <v>24.221959800077364</v>
      </c>
      <c r="AK27" s="32">
        <f t="shared" si="14"/>
        <v>-999</v>
      </c>
      <c r="AL27" s="34">
        <f t="shared" si="15"/>
        <v>-999</v>
      </c>
      <c r="AY27" s="103" t="s">
        <v>115</v>
      </c>
      <c r="AZ27" s="103" t="s">
        <v>365</v>
      </c>
      <c r="BA27" s="103" t="s">
        <v>473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1022.2709017889741</v>
      </c>
      <c r="F28" s="38">
        <f>IF(LEFT(VLOOKUP($B28,'Indicator chart'!$D$1:$J$36,6,FALSE),1)=" "," ",VLOOKUP($B28,'Indicator chart'!$D$1:$J$36,6,FALSE))</f>
        <v>679.1362368587796</v>
      </c>
      <c r="G28" s="38">
        <f>IF(LEFT(VLOOKUP($B28,'Indicator chart'!$D$1:$J$36,7,FALSE),1)=" "," ",VLOOKUP($B28,'Indicator chart'!$D$1:$J$36,7,FALSE))</f>
        <v>1477.530184556995</v>
      </c>
      <c r="H28" s="50">
        <f t="shared" si="0"/>
        <v>3</v>
      </c>
      <c r="I28" s="38">
        <v>552.026611328125</v>
      </c>
      <c r="J28" s="38">
        <v>597.3929443359375</v>
      </c>
      <c r="K28" s="38">
        <v>718.05517578125</v>
      </c>
      <c r="L28" s="38">
        <v>833.2088623046875</v>
      </c>
      <c r="M28" s="38">
        <v>1022.2708740234375</v>
      </c>
      <c r="N28" s="80">
        <f>VLOOKUP('Hide - Control'!B$3,'All practice data'!A:CA,A28+29,FALSE)</f>
        <v>673.6574515411503</v>
      </c>
      <c r="O28" s="80">
        <f>VLOOKUP('Hide - Control'!C$3,'All practice data'!A:CA,A28+29,FALSE)</f>
        <v>582.9390489900089</v>
      </c>
      <c r="P28" s="38">
        <f>VLOOKUP('Hide - Control'!$B$4,'All practice data'!B:BC,A28+2,FALSE)</f>
        <v>742</v>
      </c>
      <c r="Q28" s="38">
        <f>VLOOKUP('Hide - Control'!$B$4,'All practice data'!B:BC,3,FALSE)</f>
        <v>110145</v>
      </c>
      <c r="R28" s="38">
        <f>100000*(P28*(1-1/(9*P28)-1.96/(3*SQRT(P28)))^3)/Q28</f>
        <v>626.0502448561816</v>
      </c>
      <c r="S28" s="38">
        <f>100000*((P28+1)*(1-1/(9*(P28+1))+1.96/(3*SQRT(P28+1)))^3)/Q28</f>
        <v>723.9248654041605</v>
      </c>
      <c r="T28" s="53">
        <f t="shared" si="19"/>
        <v>1022.2708740234375</v>
      </c>
      <c r="U28" s="51">
        <f t="shared" si="20"/>
        <v>552.026611328125</v>
      </c>
      <c r="V28" s="7"/>
      <c r="W28" s="27">
        <f t="shared" si="2"/>
        <v>413.8394775390625</v>
      </c>
      <c r="X28" s="27">
        <f t="shared" si="3"/>
        <v>1022.2708740234375</v>
      </c>
      <c r="Y28" s="27">
        <f t="shared" si="4"/>
        <v>413.8394775390625</v>
      </c>
      <c r="Z28" s="27">
        <f t="shared" si="5"/>
        <v>1022.2708740234375</v>
      </c>
      <c r="AA28" s="32">
        <f t="shared" si="6"/>
        <v>0.2271203205283823</v>
      </c>
      <c r="AB28" s="33">
        <f t="shared" si="7"/>
        <v>0.30168309501692325</v>
      </c>
      <c r="AC28" s="33">
        <v>0.5</v>
      </c>
      <c r="AD28" s="33">
        <f t="shared" si="8"/>
        <v>0.6892632220967163</v>
      </c>
      <c r="AE28" s="33">
        <f t="shared" si="9"/>
        <v>1</v>
      </c>
      <c r="AF28" s="33">
        <f t="shared" si="10"/>
        <v>-999</v>
      </c>
      <c r="AG28" s="33">
        <f t="shared" si="11"/>
        <v>-999</v>
      </c>
      <c r="AH28" s="33">
        <f t="shared" si="12"/>
        <v>1.0000000456346216</v>
      </c>
      <c r="AI28" s="34">
        <f t="shared" si="13"/>
        <v>0.2779270965108538</v>
      </c>
      <c r="AJ28" s="4">
        <v>25.297955225459287</v>
      </c>
      <c r="AK28" s="32">
        <f t="shared" si="14"/>
        <v>-999</v>
      </c>
      <c r="AL28" s="34">
        <f t="shared" si="15"/>
        <v>1.0000000456346216</v>
      </c>
      <c r="AY28" s="103" t="s">
        <v>241</v>
      </c>
      <c r="AZ28" s="103" t="s">
        <v>242</v>
      </c>
      <c r="BA28" s="103" t="s">
        <v>473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368</v>
      </c>
      <c r="BA29" s="103" t="s">
        <v>294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294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389</v>
      </c>
      <c r="BA31" s="103" t="s">
        <v>294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348</v>
      </c>
      <c r="BA32" s="103" t="s">
        <v>294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413</v>
      </c>
      <c r="BA33" s="103" t="s">
        <v>473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294</v>
      </c>
      <c r="BB34" s="10">
        <v>532801</v>
      </c>
      <c r="BE34" s="77"/>
      <c r="BF34" s="253"/>
    </row>
    <row r="35" spans="2:58" ht="12.75">
      <c r="B35" s="17" t="s">
        <v>41</v>
      </c>
      <c r="C35" s="18"/>
      <c r="H35" s="290" t="s">
        <v>497</v>
      </c>
      <c r="I35" s="291"/>
      <c r="Y35" s="43"/>
      <c r="Z35" s="44"/>
      <c r="AA35" s="44"/>
      <c r="AB35" s="43"/>
      <c r="AC35" s="43"/>
      <c r="AY35" s="103" t="s">
        <v>159</v>
      </c>
      <c r="AZ35" s="103" t="s">
        <v>381</v>
      </c>
      <c r="BA35" s="103" t="s">
        <v>294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370</v>
      </c>
      <c r="BA36" s="103" t="s">
        <v>294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387</v>
      </c>
      <c r="BA37" s="103" t="s">
        <v>294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294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294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294</v>
      </c>
      <c r="BB40" s="10">
        <v>714731</v>
      </c>
      <c r="BF40" s="252"/>
    </row>
    <row r="41" spans="1:58" ht="12.75">
      <c r="A41" s="3"/>
      <c r="B41" s="71"/>
      <c r="C41" s="3"/>
      <c r="T41" s="13"/>
      <c r="U41" s="2"/>
      <c r="W41" s="2"/>
      <c r="X41" s="10"/>
      <c r="Y41" s="44"/>
      <c r="Z41" s="44"/>
      <c r="AA41" s="44"/>
      <c r="AB41" s="44"/>
      <c r="AC41" s="44"/>
      <c r="AD41" s="2"/>
      <c r="AE41" s="2"/>
      <c r="AY41" s="103" t="s">
        <v>272</v>
      </c>
      <c r="AZ41" s="103" t="s">
        <v>414</v>
      </c>
      <c r="BA41" s="103" t="s">
        <v>473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294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411</v>
      </c>
      <c r="BA43" s="103" t="s">
        <v>294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399</v>
      </c>
      <c r="BA44" s="103" t="s">
        <v>294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294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390</v>
      </c>
      <c r="BA46" s="103" t="s">
        <v>473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294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394</v>
      </c>
      <c r="BA48" s="103" t="s">
        <v>473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405</v>
      </c>
      <c r="BA49" s="103" t="s">
        <v>473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294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371</v>
      </c>
      <c r="BA51" s="103" t="s">
        <v>294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294</v>
      </c>
      <c r="BB52" s="10">
        <v>611636</v>
      </c>
      <c r="BF52" s="252"/>
    </row>
    <row r="53" spans="1:58" ht="12.75">
      <c r="A53" s="3"/>
      <c r="B53" s="12"/>
      <c r="C53" s="3"/>
      <c r="I53" s="11"/>
      <c r="J53" s="11"/>
      <c r="K53" s="11"/>
      <c r="L53" s="11"/>
      <c r="S53" s="11"/>
      <c r="U53" s="2"/>
      <c r="X53" s="2"/>
      <c r="Y53" s="2"/>
      <c r="Z53" s="2"/>
      <c r="AA53" s="2"/>
      <c r="AB53" s="2"/>
      <c r="AY53" s="103" t="s">
        <v>244</v>
      </c>
      <c r="AZ53" s="103" t="s">
        <v>404</v>
      </c>
      <c r="BA53" s="103" t="s">
        <v>294</v>
      </c>
      <c r="BB53" s="10">
        <v>230998</v>
      </c>
      <c r="BF53" s="252"/>
    </row>
    <row r="54" spans="1:58" ht="12.75">
      <c r="A54" s="3"/>
      <c r="B54" s="12"/>
      <c r="C54" s="3"/>
      <c r="I54" s="11"/>
      <c r="J54" s="11"/>
      <c r="K54" s="11"/>
      <c r="L54" s="11"/>
      <c r="S54" s="11"/>
      <c r="U54" s="2"/>
      <c r="X54" s="2"/>
      <c r="Y54" s="2"/>
      <c r="Z54" s="2"/>
      <c r="AA54" s="2"/>
      <c r="AB54" s="2"/>
      <c r="AY54" s="103" t="s">
        <v>67</v>
      </c>
      <c r="AZ54" s="103" t="s">
        <v>345</v>
      </c>
      <c r="BA54" s="103" t="s">
        <v>294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391</v>
      </c>
      <c r="BA55" s="103" t="s">
        <v>294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361</v>
      </c>
      <c r="BA56" s="103" t="s">
        <v>294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406</v>
      </c>
      <c r="BA57" s="103" t="s">
        <v>294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351</v>
      </c>
      <c r="BA58" s="103" t="s">
        <v>294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294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294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395</v>
      </c>
      <c r="BA61" s="103" t="s">
        <v>473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384</v>
      </c>
      <c r="BA63" s="103" t="s">
        <v>294</v>
      </c>
      <c r="BB63" s="10">
        <v>318405</v>
      </c>
      <c r="BE63" s="70"/>
      <c r="BF63" s="239"/>
    </row>
    <row r="64" spans="1:58" ht="12.75">
      <c r="A64" s="3"/>
      <c r="B64" s="12"/>
      <c r="C64" s="3"/>
      <c r="I64" s="11"/>
      <c r="V64" s="3"/>
      <c r="AY64" s="103" t="s">
        <v>78</v>
      </c>
      <c r="AZ64" s="103" t="s">
        <v>352</v>
      </c>
      <c r="BA64" s="103" t="s">
        <v>473</v>
      </c>
      <c r="BB64" s="10">
        <v>181285</v>
      </c>
      <c r="BE64" s="70"/>
      <c r="BF64" s="241"/>
    </row>
    <row r="65" spans="1:58" ht="12.75">
      <c r="A65" s="3"/>
      <c r="B65" s="12"/>
      <c r="C65" s="3"/>
      <c r="AY65" s="103" t="s">
        <v>462</v>
      </c>
      <c r="AZ65" s="103" t="s">
        <v>463</v>
      </c>
      <c r="BA65" s="103" t="s">
        <v>294</v>
      </c>
      <c r="BB65" s="10">
        <v>1169302</v>
      </c>
      <c r="BE65" s="70"/>
      <c r="BF65" s="241"/>
    </row>
    <row r="66" spans="1:58" ht="12.75">
      <c r="A66" s="3"/>
      <c r="B66" s="12"/>
      <c r="C66" s="3"/>
      <c r="E66" s="2"/>
      <c r="F66" s="2"/>
      <c r="G66" s="2"/>
      <c r="V66" s="2"/>
      <c r="AY66" s="103" t="s">
        <v>200</v>
      </c>
      <c r="AZ66" s="103" t="s">
        <v>392</v>
      </c>
      <c r="BA66" s="103" t="s">
        <v>294</v>
      </c>
      <c r="BB66" s="10">
        <v>217916</v>
      </c>
      <c r="BE66" s="70"/>
      <c r="BF66" s="239"/>
    </row>
    <row r="67" spans="1:58" ht="12.75">
      <c r="A67" s="3"/>
      <c r="B67" s="12"/>
      <c r="C67" s="3"/>
      <c r="AY67" s="103" t="s">
        <v>69</v>
      </c>
      <c r="AZ67" s="103" t="s">
        <v>70</v>
      </c>
      <c r="BA67" s="103" t="s">
        <v>294</v>
      </c>
      <c r="BB67" s="10">
        <v>270842</v>
      </c>
      <c r="BE67" s="70"/>
      <c r="BF67" s="239"/>
    </row>
    <row r="68" spans="1:58" ht="12.75">
      <c r="A68" s="3"/>
      <c r="B68" s="12"/>
      <c r="C68" s="3"/>
      <c r="AY68" s="103" t="s">
        <v>109</v>
      </c>
      <c r="AZ68" s="103" t="s">
        <v>110</v>
      </c>
      <c r="BA68" s="103" t="s">
        <v>294</v>
      </c>
      <c r="BB68" s="10">
        <v>251613</v>
      </c>
      <c r="BF68" s="252"/>
    </row>
    <row r="69" spans="1:58" ht="12.75">
      <c r="A69" s="3"/>
      <c r="B69" s="12"/>
      <c r="C69" s="3"/>
      <c r="AY69" s="103" t="s">
        <v>209</v>
      </c>
      <c r="AZ69" s="103" t="s">
        <v>210</v>
      </c>
      <c r="BA69" s="103" t="s">
        <v>294</v>
      </c>
      <c r="BB69" s="10">
        <v>283547</v>
      </c>
      <c r="BE69" s="70"/>
      <c r="BF69" s="241"/>
    </row>
    <row r="70" spans="1:58" ht="12.75">
      <c r="A70" s="3"/>
      <c r="B70" s="12"/>
      <c r="C70" s="3"/>
      <c r="AY70" s="103" t="s">
        <v>275</v>
      </c>
      <c r="AZ70" s="103" t="s">
        <v>415</v>
      </c>
      <c r="BA70" s="103" t="s">
        <v>472</v>
      </c>
      <c r="BB70" s="10">
        <v>141474</v>
      </c>
      <c r="BE70" s="70"/>
      <c r="BF70" s="239"/>
    </row>
    <row r="71" spans="1:58" ht="12.75">
      <c r="A71" s="3"/>
      <c r="B71" s="12"/>
      <c r="C71" s="3"/>
      <c r="AY71" s="103" t="s">
        <v>127</v>
      </c>
      <c r="AZ71" s="103" t="s">
        <v>369</v>
      </c>
      <c r="BA71" s="103" t="s">
        <v>294</v>
      </c>
      <c r="BB71" s="10">
        <v>213326</v>
      </c>
      <c r="BE71" s="70"/>
      <c r="BF71" s="239"/>
    </row>
    <row r="72" spans="1:58" ht="12.75">
      <c r="A72" s="3"/>
      <c r="B72" s="12"/>
      <c r="C72" s="3"/>
      <c r="AY72" s="103" t="s">
        <v>136</v>
      </c>
      <c r="AZ72" s="103" t="s">
        <v>137</v>
      </c>
      <c r="BA72" s="103" t="s">
        <v>294</v>
      </c>
      <c r="BB72" s="10">
        <v>183220</v>
      </c>
      <c r="BE72" s="250"/>
      <c r="BF72" s="239"/>
    </row>
    <row r="73" spans="1:58" ht="12.75">
      <c r="A73" s="3"/>
      <c r="B73" s="12"/>
      <c r="C73" s="3"/>
      <c r="AY73" s="103" t="s">
        <v>64</v>
      </c>
      <c r="AZ73" s="103" t="s">
        <v>344</v>
      </c>
      <c r="BA73" s="103" t="s">
        <v>294</v>
      </c>
      <c r="BB73" s="10">
        <v>190143</v>
      </c>
      <c r="BE73" s="70"/>
      <c r="BF73" s="239"/>
    </row>
    <row r="74" spans="1:58" ht="12.75">
      <c r="A74" s="3"/>
      <c r="B74" s="12"/>
      <c r="C74" s="3"/>
      <c r="AY74" s="103" t="s">
        <v>165</v>
      </c>
      <c r="AZ74" s="103" t="s">
        <v>166</v>
      </c>
      <c r="BA74" s="103" t="s">
        <v>473</v>
      </c>
      <c r="BB74" s="10">
        <v>419928</v>
      </c>
      <c r="BE74" s="70"/>
      <c r="BF74" s="241"/>
    </row>
    <row r="75" spans="1:58" ht="12.75">
      <c r="A75" s="3"/>
      <c r="B75" s="12"/>
      <c r="C75" s="3"/>
      <c r="AY75" s="103" t="s">
        <v>113</v>
      </c>
      <c r="AZ75" s="103" t="s">
        <v>363</v>
      </c>
      <c r="BA75" s="103" t="s">
        <v>294</v>
      </c>
      <c r="BB75" s="10">
        <v>158106</v>
      </c>
      <c r="BE75" s="70"/>
      <c r="BF75" s="241"/>
    </row>
    <row r="76" spans="1:58" ht="12.75">
      <c r="A76" s="3"/>
      <c r="B76" s="12"/>
      <c r="C76" s="3"/>
      <c r="AY76" s="103" t="s">
        <v>140</v>
      </c>
      <c r="AZ76" s="103" t="s">
        <v>141</v>
      </c>
      <c r="BA76" s="103" t="s">
        <v>294</v>
      </c>
      <c r="BB76" s="10">
        <v>377807</v>
      </c>
      <c r="BE76" s="70"/>
      <c r="BF76" s="241"/>
    </row>
    <row r="77" spans="1:58" ht="12.75">
      <c r="A77" s="3"/>
      <c r="B77" s="12"/>
      <c r="C77" s="3"/>
      <c r="AY77" s="103" t="s">
        <v>163</v>
      </c>
      <c r="AZ77" s="103" t="s">
        <v>164</v>
      </c>
      <c r="BA77" s="103" t="s">
        <v>473</v>
      </c>
      <c r="BB77" s="10">
        <v>799634</v>
      </c>
      <c r="BE77" s="70"/>
      <c r="BF77" s="249"/>
    </row>
    <row r="78" spans="1:58" ht="12.75">
      <c r="A78" s="3"/>
      <c r="B78" s="12"/>
      <c r="C78" s="3"/>
      <c r="AY78" s="103" t="s">
        <v>224</v>
      </c>
      <c r="AZ78" s="103" t="s">
        <v>225</v>
      </c>
      <c r="BA78" s="103" t="s">
        <v>294</v>
      </c>
      <c r="BB78" s="10">
        <v>362638</v>
      </c>
      <c r="BE78" s="70"/>
      <c r="BF78" s="239"/>
    </row>
    <row r="79" spans="1:58" ht="12.75">
      <c r="A79" s="3"/>
      <c r="B79" s="12"/>
      <c r="C79" s="3"/>
      <c r="AY79" s="103" t="s">
        <v>223</v>
      </c>
      <c r="AZ79" s="103" t="s">
        <v>397</v>
      </c>
      <c r="BA79" s="103" t="s">
        <v>294</v>
      </c>
      <c r="BB79" s="10">
        <v>678998</v>
      </c>
      <c r="BF79" s="239"/>
    </row>
    <row r="80" spans="1:58" ht="12.75">
      <c r="A80" s="3"/>
      <c r="B80" s="12"/>
      <c r="C80" s="3"/>
      <c r="AY80" s="103" t="s">
        <v>144</v>
      </c>
      <c r="AZ80" s="103" t="s">
        <v>145</v>
      </c>
      <c r="BA80" s="103" t="s">
        <v>294</v>
      </c>
      <c r="BB80" s="10">
        <v>290986</v>
      </c>
      <c r="BF80" s="252"/>
    </row>
    <row r="81" spans="1:58" ht="12.75">
      <c r="A81" s="3"/>
      <c r="B81" s="12"/>
      <c r="C81" s="3"/>
      <c r="AY81" s="103" t="s">
        <v>178</v>
      </c>
      <c r="AZ81" s="103" t="s">
        <v>386</v>
      </c>
      <c r="BA81" s="103" t="s">
        <v>473</v>
      </c>
      <c r="BB81" s="10">
        <v>747976</v>
      </c>
      <c r="BF81" s="252"/>
    </row>
    <row r="82" spans="1:58" ht="12.75">
      <c r="A82" s="3"/>
      <c r="B82" s="12"/>
      <c r="C82" s="3"/>
      <c r="AY82" s="103" t="s">
        <v>193</v>
      </c>
      <c r="AZ82" s="103" t="s">
        <v>194</v>
      </c>
      <c r="BA82" s="103" t="s">
        <v>294</v>
      </c>
      <c r="BB82" s="10">
        <v>489140</v>
      </c>
      <c r="BF82" s="252"/>
    </row>
    <row r="83" spans="1:58" ht="12.75">
      <c r="A83" s="3"/>
      <c r="B83" s="12"/>
      <c r="C83" s="3"/>
      <c r="AY83" s="103" t="s">
        <v>98</v>
      </c>
      <c r="AZ83" s="103" t="s">
        <v>360</v>
      </c>
      <c r="BA83" s="103" t="s">
        <v>473</v>
      </c>
      <c r="BB83" s="10">
        <v>208442</v>
      </c>
      <c r="BE83" s="70"/>
      <c r="BF83" s="241"/>
    </row>
    <row r="84" spans="1:58" ht="12.75">
      <c r="A84" s="3"/>
      <c r="B84" s="12"/>
      <c r="C84" s="3"/>
      <c r="AY84" s="103" t="s">
        <v>203</v>
      </c>
      <c r="AZ84" s="103" t="s">
        <v>204</v>
      </c>
      <c r="BA84" s="103" t="s">
        <v>473</v>
      </c>
      <c r="BB84" s="10">
        <v>545543</v>
      </c>
      <c r="BE84" s="70"/>
      <c r="BF84" s="241"/>
    </row>
    <row r="85" spans="1:58" ht="12.75">
      <c r="A85" s="3"/>
      <c r="B85" s="12"/>
      <c r="C85" s="3"/>
      <c r="AY85" s="103" t="s">
        <v>135</v>
      </c>
      <c r="AZ85" s="103" t="s">
        <v>375</v>
      </c>
      <c r="BA85" s="103" t="s">
        <v>473</v>
      </c>
      <c r="BB85" s="10">
        <v>274067</v>
      </c>
      <c r="BE85" s="70"/>
      <c r="BF85" s="241"/>
    </row>
    <row r="86" spans="1:58" ht="12.75">
      <c r="A86" s="3"/>
      <c r="B86" s="12"/>
      <c r="C86" s="3"/>
      <c r="AY86" s="103" t="s">
        <v>251</v>
      </c>
      <c r="AZ86" s="103" t="s">
        <v>252</v>
      </c>
      <c r="BA86" s="103" t="s">
        <v>473</v>
      </c>
      <c r="BB86" s="10">
        <v>374861</v>
      </c>
      <c r="BE86" s="70"/>
      <c r="BF86" s="249"/>
    </row>
    <row r="87" spans="1:58" ht="12.75">
      <c r="A87" s="3"/>
      <c r="B87" s="12"/>
      <c r="C87" s="3"/>
      <c r="AY87" s="103" t="s">
        <v>132</v>
      </c>
      <c r="AZ87" s="103" t="s">
        <v>133</v>
      </c>
      <c r="BA87" s="103" t="s">
        <v>294</v>
      </c>
      <c r="BB87" s="10">
        <v>153833</v>
      </c>
      <c r="BE87" s="70"/>
      <c r="BF87" s="249"/>
    </row>
    <row r="88" spans="1:58" ht="12.75">
      <c r="A88" s="3"/>
      <c r="B88" s="12"/>
      <c r="C88" s="3"/>
      <c r="AY88" s="103" t="s">
        <v>79</v>
      </c>
      <c r="AZ88" s="103" t="s">
        <v>80</v>
      </c>
      <c r="BA88" s="103" t="s">
        <v>473</v>
      </c>
      <c r="BB88" s="10">
        <v>258492</v>
      </c>
      <c r="BE88" s="70"/>
      <c r="BF88" s="241"/>
    </row>
    <row r="89" spans="1:58" ht="12.75">
      <c r="A89" s="3"/>
      <c r="B89" s="12"/>
      <c r="C89" s="3"/>
      <c r="AY89" s="103" t="s">
        <v>81</v>
      </c>
      <c r="AZ89" s="103" t="s">
        <v>353</v>
      </c>
      <c r="BA89" s="103" t="s">
        <v>294</v>
      </c>
      <c r="BB89" s="10">
        <v>283085</v>
      </c>
      <c r="BE89" s="70"/>
      <c r="BF89" s="241"/>
    </row>
    <row r="90" spans="1:58" ht="12.75">
      <c r="A90" s="3"/>
      <c r="B90" s="12"/>
      <c r="C90" s="3"/>
      <c r="AY90" s="103" t="s">
        <v>76</v>
      </c>
      <c r="AZ90" s="103" t="s">
        <v>350</v>
      </c>
      <c r="BA90" s="103" t="s">
        <v>294</v>
      </c>
      <c r="BB90" s="10">
        <v>357346</v>
      </c>
      <c r="BE90" s="70"/>
      <c r="BF90" s="241"/>
    </row>
    <row r="91" spans="1:58" ht="12.75">
      <c r="A91" s="3"/>
      <c r="B91" s="12"/>
      <c r="C91" s="3"/>
      <c r="AY91" s="103" t="s">
        <v>243</v>
      </c>
      <c r="AZ91" s="103" t="s">
        <v>403</v>
      </c>
      <c r="BA91" s="103" t="s">
        <v>473</v>
      </c>
      <c r="BB91" s="10">
        <v>748575</v>
      </c>
      <c r="BE91" s="247"/>
      <c r="BF91" s="249"/>
    </row>
    <row r="92" spans="1:58" ht="12.75">
      <c r="A92" s="3"/>
      <c r="B92" s="12"/>
      <c r="C92" s="3"/>
      <c r="AY92" s="103" t="s">
        <v>249</v>
      </c>
      <c r="AZ92" s="103" t="s">
        <v>250</v>
      </c>
      <c r="BA92" s="103" t="s">
        <v>473</v>
      </c>
      <c r="BB92" s="10">
        <v>322673</v>
      </c>
      <c r="BE92" s="247"/>
      <c r="BF92" s="249"/>
    </row>
    <row r="93" spans="1:58" ht="12.75">
      <c r="A93" s="3"/>
      <c r="B93" s="12"/>
      <c r="C93" s="3"/>
      <c r="AY93" s="103" t="s">
        <v>58</v>
      </c>
      <c r="AZ93" s="103" t="s">
        <v>59</v>
      </c>
      <c r="BA93" s="103" t="s">
        <v>294</v>
      </c>
      <c r="BB93" s="10">
        <v>165284</v>
      </c>
      <c r="BF93" s="252"/>
    </row>
    <row r="94" spans="1:58" ht="12.75">
      <c r="A94" s="3"/>
      <c r="B94" s="12"/>
      <c r="C94" s="3"/>
      <c r="AY94" s="103" t="s">
        <v>186</v>
      </c>
      <c r="AZ94" s="103" t="s">
        <v>388</v>
      </c>
      <c r="BA94" s="103" t="s">
        <v>294</v>
      </c>
      <c r="BB94" s="10">
        <v>339272</v>
      </c>
      <c r="BE94" s="70"/>
      <c r="BF94" s="241"/>
    </row>
    <row r="95" spans="1:58" ht="12.75">
      <c r="A95" s="3"/>
      <c r="B95" s="12"/>
      <c r="C95" s="3"/>
      <c r="AY95" s="103" t="s">
        <v>86</v>
      </c>
      <c r="AZ95" s="103" t="s">
        <v>87</v>
      </c>
      <c r="BA95" s="103" t="s">
        <v>294</v>
      </c>
      <c r="BB95" s="10">
        <v>165642</v>
      </c>
      <c r="BE95" s="247"/>
      <c r="BF95" s="249"/>
    </row>
    <row r="96" spans="1:58" ht="12.75">
      <c r="A96" s="3"/>
      <c r="B96" s="12"/>
      <c r="C96" s="3"/>
      <c r="AY96" s="103" t="s">
        <v>157</v>
      </c>
      <c r="AZ96" s="103" t="s">
        <v>158</v>
      </c>
      <c r="BA96" s="103" t="s">
        <v>294</v>
      </c>
      <c r="BB96" s="10">
        <v>208351</v>
      </c>
      <c r="BE96" s="243"/>
      <c r="BF96" s="238"/>
    </row>
    <row r="97" spans="1:58" ht="12.75">
      <c r="A97" s="3"/>
      <c r="B97" s="12"/>
      <c r="C97" s="3"/>
      <c r="AY97" s="103" t="s">
        <v>231</v>
      </c>
      <c r="AZ97" s="103" t="s">
        <v>232</v>
      </c>
      <c r="BA97" s="103" t="s">
        <v>294</v>
      </c>
      <c r="BB97" s="10">
        <v>203178</v>
      </c>
      <c r="BE97" s="243"/>
      <c r="BF97" s="238"/>
    </row>
    <row r="98" spans="1:58" ht="12.75">
      <c r="A98" s="3"/>
      <c r="B98" s="12"/>
      <c r="C98" s="3"/>
      <c r="AY98" s="103" t="s">
        <v>82</v>
      </c>
      <c r="AZ98" s="103" t="s">
        <v>354</v>
      </c>
      <c r="BA98" s="103" t="s">
        <v>294</v>
      </c>
      <c r="BB98" s="10">
        <v>214052</v>
      </c>
      <c r="BE98" s="248"/>
      <c r="BF98" s="241"/>
    </row>
    <row r="99" spans="1:58" ht="12.75">
      <c r="A99" s="3"/>
      <c r="B99" s="12"/>
      <c r="C99" s="3"/>
      <c r="AY99" s="103" t="s">
        <v>205</v>
      </c>
      <c r="AZ99" s="103" t="s">
        <v>206</v>
      </c>
      <c r="BA99" s="103" t="s">
        <v>473</v>
      </c>
      <c r="BB99" s="10">
        <v>795503</v>
      </c>
      <c r="BE99" s="70"/>
      <c r="BF99" s="249"/>
    </row>
    <row r="100" spans="1:58" ht="12.75">
      <c r="A100" s="3"/>
      <c r="B100" s="12"/>
      <c r="C100" s="3"/>
      <c r="AY100" s="103" t="s">
        <v>226</v>
      </c>
      <c r="AZ100" s="103" t="s">
        <v>398</v>
      </c>
      <c r="BA100" s="103" t="s">
        <v>294</v>
      </c>
      <c r="BB100" s="10">
        <v>648340</v>
      </c>
      <c r="BE100" s="70"/>
      <c r="BF100" s="249"/>
    </row>
    <row r="101" spans="51:58" ht="12.75">
      <c r="AY101" s="103" t="s">
        <v>51</v>
      </c>
      <c r="AZ101" s="103" t="s">
        <v>52</v>
      </c>
      <c r="BA101" s="103" t="s">
        <v>294</v>
      </c>
      <c r="BB101" s="10">
        <v>320818</v>
      </c>
      <c r="BE101" s="237"/>
      <c r="BF101" s="238"/>
    </row>
    <row r="102" spans="51:58" ht="12.75">
      <c r="AY102" s="103" t="s">
        <v>88</v>
      </c>
      <c r="AZ102" s="103" t="s">
        <v>89</v>
      </c>
      <c r="BA102" s="103" t="s">
        <v>294</v>
      </c>
      <c r="BB102" s="10">
        <v>339920</v>
      </c>
      <c r="BE102" s="237"/>
      <c r="BF102" s="238"/>
    </row>
    <row r="103" spans="51:58" ht="12.75">
      <c r="AY103" s="103" t="s">
        <v>177</v>
      </c>
      <c r="AZ103" s="103" t="s">
        <v>385</v>
      </c>
      <c r="BA103" s="103" t="s">
        <v>294</v>
      </c>
      <c r="BB103" s="10">
        <v>656875</v>
      </c>
      <c r="BE103" s="70"/>
      <c r="BF103" s="239"/>
    </row>
    <row r="104" spans="51:58" ht="12.75">
      <c r="AY104" s="103" t="s">
        <v>114</v>
      </c>
      <c r="AZ104" s="103" t="s">
        <v>364</v>
      </c>
      <c r="BA104" s="103" t="s">
        <v>294</v>
      </c>
      <c r="BB104" s="10">
        <v>236592</v>
      </c>
      <c r="BF104" s="252"/>
    </row>
    <row r="105" spans="51:58" ht="12.75">
      <c r="AY105" s="103" t="s">
        <v>259</v>
      </c>
      <c r="AZ105" s="103" t="s">
        <v>407</v>
      </c>
      <c r="BA105" s="103" t="s">
        <v>473</v>
      </c>
      <c r="BB105" s="10">
        <v>671572</v>
      </c>
      <c r="BE105" s="237"/>
      <c r="BF105" s="238"/>
    </row>
    <row r="106" spans="51:58" ht="12.75">
      <c r="AY106" s="103" t="s">
        <v>239</v>
      </c>
      <c r="AZ106" s="103" t="s">
        <v>240</v>
      </c>
      <c r="BA106" s="103" t="s">
        <v>473</v>
      </c>
      <c r="BB106" s="10">
        <v>177882</v>
      </c>
      <c r="BF106" s="252"/>
    </row>
    <row r="107" spans="51:58" ht="12.75">
      <c r="AY107" s="103" t="s">
        <v>91</v>
      </c>
      <c r="AZ107" s="103" t="s">
        <v>357</v>
      </c>
      <c r="BA107" s="103" t="s">
        <v>294</v>
      </c>
      <c r="BB107" s="10">
        <v>274443</v>
      </c>
      <c r="BF107" s="252"/>
    </row>
    <row r="108" spans="51:58" ht="12.75">
      <c r="AY108" s="103" t="s">
        <v>95</v>
      </c>
      <c r="AZ108" s="103" t="s">
        <v>359</v>
      </c>
      <c r="BA108" s="103" t="s">
        <v>294</v>
      </c>
      <c r="BB108" s="10">
        <v>213174</v>
      </c>
      <c r="BE108" s="70"/>
      <c r="BF108" s="239"/>
    </row>
    <row r="109" spans="51:58" ht="12.75">
      <c r="AY109" s="103" t="s">
        <v>179</v>
      </c>
      <c r="AZ109" s="103" t="s">
        <v>180</v>
      </c>
      <c r="BA109" s="103" t="s">
        <v>294</v>
      </c>
      <c r="BB109" s="10">
        <v>278950</v>
      </c>
      <c r="BE109" s="237"/>
      <c r="BF109" s="238"/>
    </row>
    <row r="110" spans="51:58" ht="12.75">
      <c r="AY110" s="103" t="s">
        <v>273</v>
      </c>
      <c r="AZ110" s="103" t="s">
        <v>274</v>
      </c>
      <c r="BA110" s="103" t="s">
        <v>294</v>
      </c>
      <c r="BB110" s="10">
        <v>133304</v>
      </c>
      <c r="BE110" s="70"/>
      <c r="BF110" s="249"/>
    </row>
    <row r="111" spans="51:58" ht="12.75">
      <c r="AY111" s="103" t="s">
        <v>155</v>
      </c>
      <c r="AZ111" s="103" t="s">
        <v>379</v>
      </c>
      <c r="BA111" s="103" t="s">
        <v>294</v>
      </c>
      <c r="BB111" s="10">
        <v>197060</v>
      </c>
      <c r="BE111" s="70"/>
      <c r="BF111" s="239"/>
    </row>
    <row r="112" spans="51:58" ht="12.75">
      <c r="AY112" s="103" t="s">
        <v>100</v>
      </c>
      <c r="AZ112" s="103" t="s">
        <v>101</v>
      </c>
      <c r="BA112" s="103" t="s">
        <v>294</v>
      </c>
      <c r="BB112" s="10">
        <v>253140</v>
      </c>
      <c r="BE112" s="250"/>
      <c r="BF112" s="249"/>
    </row>
    <row r="113" spans="51:58" ht="12.75">
      <c r="AY113" s="103" t="s">
        <v>92</v>
      </c>
      <c r="AZ113" s="103" t="s">
        <v>93</v>
      </c>
      <c r="BA113" s="103" t="s">
        <v>294</v>
      </c>
      <c r="BB113" s="10">
        <v>240983</v>
      </c>
      <c r="BE113" s="70"/>
      <c r="BF113" s="241"/>
    </row>
    <row r="114" spans="51:58" ht="12.75">
      <c r="AY114" s="103" t="s">
        <v>228</v>
      </c>
      <c r="AZ114" s="103" t="s">
        <v>400</v>
      </c>
      <c r="BA114" s="103" t="s">
        <v>294</v>
      </c>
      <c r="BB114" s="10">
        <v>340451</v>
      </c>
      <c r="BF114" s="241"/>
    </row>
    <row r="115" spans="51:58" ht="12.75">
      <c r="AY115" s="103" t="s">
        <v>189</v>
      </c>
      <c r="AZ115" s="103" t="s">
        <v>190</v>
      </c>
      <c r="BA115" s="103" t="s">
        <v>294</v>
      </c>
      <c r="BB115" s="10">
        <v>280673</v>
      </c>
      <c r="BE115" s="248"/>
      <c r="BF115" s="241"/>
    </row>
    <row r="116" spans="51:58" ht="12.75">
      <c r="AY116" s="103" t="s">
        <v>169</v>
      </c>
      <c r="AZ116" s="103" t="s">
        <v>170</v>
      </c>
      <c r="BA116" s="103" t="s">
        <v>294</v>
      </c>
      <c r="BB116" s="10">
        <v>565874</v>
      </c>
      <c r="BE116" s="70"/>
      <c r="BF116" s="239"/>
    </row>
    <row r="117" spans="51:58" ht="12.75">
      <c r="AY117" s="103" t="s">
        <v>152</v>
      </c>
      <c r="AZ117" s="103" t="s">
        <v>378</v>
      </c>
      <c r="BA117" s="103" t="s">
        <v>473</v>
      </c>
      <c r="BB117" s="10">
        <v>295379</v>
      </c>
      <c r="BE117" s="237"/>
      <c r="BF117" s="238"/>
    </row>
    <row r="118" spans="51:58" ht="12.75">
      <c r="AY118" s="103" t="s">
        <v>56</v>
      </c>
      <c r="AZ118" s="103" t="s">
        <v>57</v>
      </c>
      <c r="BA118" s="103" t="s">
        <v>294</v>
      </c>
      <c r="BB118" s="10">
        <v>217094</v>
      </c>
      <c r="BE118" s="70"/>
      <c r="BF118" s="239"/>
    </row>
    <row r="119" spans="51:58" ht="12.75">
      <c r="AY119" s="103" t="s">
        <v>268</v>
      </c>
      <c r="AZ119" s="103" t="s">
        <v>410</v>
      </c>
      <c r="BA119" s="103" t="s">
        <v>294</v>
      </c>
      <c r="BB119" s="10">
        <v>538131</v>
      </c>
      <c r="BE119" s="70"/>
      <c r="BF119" s="239"/>
    </row>
    <row r="120" spans="51:58" ht="12.75">
      <c r="AY120" s="103" t="s">
        <v>150</v>
      </c>
      <c r="AZ120" s="103" t="s">
        <v>151</v>
      </c>
      <c r="BA120" s="103" t="s">
        <v>473</v>
      </c>
      <c r="BB120" s="10">
        <v>389725</v>
      </c>
      <c r="BE120" s="70"/>
      <c r="BF120" s="239"/>
    </row>
    <row r="121" spans="51:58" ht="12.75">
      <c r="AY121" s="103" t="s">
        <v>212</v>
      </c>
      <c r="AZ121" s="103" t="s">
        <v>213</v>
      </c>
      <c r="BA121" s="103" t="s">
        <v>473</v>
      </c>
      <c r="BB121" s="10">
        <v>356812</v>
      </c>
      <c r="BE121" s="237"/>
      <c r="BF121" s="238"/>
    </row>
    <row r="122" spans="51:58" ht="12.75">
      <c r="AY122" s="103" t="s">
        <v>60</v>
      </c>
      <c r="AZ122" s="103" t="s">
        <v>61</v>
      </c>
      <c r="BA122" s="103" t="s">
        <v>294</v>
      </c>
      <c r="BB122" s="10">
        <v>256321</v>
      </c>
      <c r="BE122" s="70"/>
      <c r="BF122" s="249"/>
    </row>
    <row r="123" spans="51:58" ht="12.75">
      <c r="AY123" s="103" t="s">
        <v>234</v>
      </c>
      <c r="AZ123" s="103" t="s">
        <v>402</v>
      </c>
      <c r="BA123" s="103" t="s">
        <v>473</v>
      </c>
      <c r="BB123" s="10">
        <v>615835</v>
      </c>
      <c r="BF123" s="252"/>
    </row>
    <row r="124" spans="51:58" ht="12.75">
      <c r="AY124" s="103" t="s">
        <v>130</v>
      </c>
      <c r="AZ124" s="103" t="s">
        <v>372</v>
      </c>
      <c r="BA124" s="103" t="s">
        <v>294</v>
      </c>
      <c r="BB124" s="10">
        <v>150179</v>
      </c>
      <c r="BF124" s="252"/>
    </row>
    <row r="125" spans="51:58" ht="12.75">
      <c r="AY125" s="103" t="s">
        <v>253</v>
      </c>
      <c r="AZ125" s="103" t="s">
        <v>254</v>
      </c>
      <c r="BA125" s="103" t="s">
        <v>294</v>
      </c>
      <c r="BB125" s="10">
        <v>420503</v>
      </c>
      <c r="BE125" s="70"/>
      <c r="BF125" s="249"/>
    </row>
    <row r="126" spans="51:58" ht="12.75">
      <c r="AY126" s="103" t="s">
        <v>134</v>
      </c>
      <c r="AZ126" s="103" t="s">
        <v>374</v>
      </c>
      <c r="BA126" s="103" t="s">
        <v>294</v>
      </c>
      <c r="BB126" s="10">
        <v>263936</v>
      </c>
      <c r="BE126" s="70"/>
      <c r="BF126" s="239"/>
    </row>
    <row r="127" spans="51:58" ht="12.75">
      <c r="AY127" s="103" t="s">
        <v>142</v>
      </c>
      <c r="AZ127" s="103" t="s">
        <v>143</v>
      </c>
      <c r="BA127" s="103" t="s">
        <v>294</v>
      </c>
      <c r="BB127" s="10">
        <v>308593</v>
      </c>
      <c r="BF127" s="252"/>
    </row>
    <row r="128" spans="51:58" ht="12.75">
      <c r="AY128" s="103" t="s">
        <v>94</v>
      </c>
      <c r="AZ128" s="103" t="s">
        <v>358</v>
      </c>
      <c r="BA128" s="103" t="s">
        <v>473</v>
      </c>
      <c r="BB128" s="10">
        <v>298190</v>
      </c>
      <c r="BE128" s="250"/>
      <c r="BF128" s="249"/>
    </row>
    <row r="129" spans="51:58" ht="12.75">
      <c r="AY129" s="103" t="s">
        <v>85</v>
      </c>
      <c r="AZ129" s="103" t="s">
        <v>355</v>
      </c>
      <c r="BA129" s="103" t="s">
        <v>294</v>
      </c>
      <c r="BB129" s="10">
        <v>191885</v>
      </c>
      <c r="BE129" s="70"/>
      <c r="BF129" s="249"/>
    </row>
    <row r="130" spans="51:58" ht="12.75">
      <c r="AY130" s="103" t="s">
        <v>233</v>
      </c>
      <c r="AZ130" s="103" t="s">
        <v>401</v>
      </c>
      <c r="BA130" s="103" t="s">
        <v>294</v>
      </c>
      <c r="BB130" s="10">
        <v>268223</v>
      </c>
      <c r="BE130" s="70"/>
      <c r="BF130" s="249"/>
    </row>
    <row r="131" spans="51:58" ht="12.75">
      <c r="AY131" s="103" t="s">
        <v>245</v>
      </c>
      <c r="AZ131" s="103" t="s">
        <v>246</v>
      </c>
      <c r="BA131" s="103" t="s">
        <v>473</v>
      </c>
      <c r="BB131" s="10">
        <v>616983</v>
      </c>
      <c r="BE131" s="247"/>
      <c r="BF131" s="249"/>
    </row>
    <row r="132" spans="51:58" ht="12.75">
      <c r="AY132" s="103" t="s">
        <v>131</v>
      </c>
      <c r="AZ132" s="103" t="s">
        <v>373</v>
      </c>
      <c r="BA132" s="103" t="s">
        <v>294</v>
      </c>
      <c r="BB132" s="10">
        <v>283991</v>
      </c>
      <c r="BE132" s="247"/>
      <c r="BF132" s="249"/>
    </row>
    <row r="133" spans="51:58" ht="12.75">
      <c r="AY133" s="103" t="s">
        <v>216</v>
      </c>
      <c r="AZ133" s="103" t="s">
        <v>217</v>
      </c>
      <c r="BA133" s="103" t="s">
        <v>294</v>
      </c>
      <c r="BB133" s="10">
        <v>1156805</v>
      </c>
      <c r="BE133" s="247"/>
      <c r="BF133" s="251"/>
    </row>
    <row r="134" spans="51:58" ht="12.75">
      <c r="AY134" s="103" t="s">
        <v>156</v>
      </c>
      <c r="AZ134" s="103" t="s">
        <v>380</v>
      </c>
      <c r="BA134" s="103" t="s">
        <v>294</v>
      </c>
      <c r="BB134" s="10">
        <v>390971</v>
      </c>
      <c r="BE134" s="243"/>
      <c r="BF134" s="238"/>
    </row>
    <row r="135" spans="51:58" ht="12.75">
      <c r="AY135" s="103" t="s">
        <v>121</v>
      </c>
      <c r="AZ135" s="103" t="s">
        <v>122</v>
      </c>
      <c r="BA135" s="103" t="s">
        <v>472</v>
      </c>
      <c r="BB135" s="10">
        <v>218182</v>
      </c>
      <c r="BE135" s="250"/>
      <c r="BF135" s="249"/>
    </row>
    <row r="136" spans="51:58" ht="12.75">
      <c r="AY136" s="103" t="s">
        <v>148</v>
      </c>
      <c r="AZ136" s="103" t="s">
        <v>376</v>
      </c>
      <c r="BA136" s="103" t="s">
        <v>473</v>
      </c>
      <c r="BB136" s="10">
        <v>236598</v>
      </c>
      <c r="BE136" s="237"/>
      <c r="BF136" s="238"/>
    </row>
    <row r="137" spans="51:58" ht="12.75">
      <c r="AY137" s="103" t="s">
        <v>160</v>
      </c>
      <c r="AZ137" s="103" t="s">
        <v>382</v>
      </c>
      <c r="BA137" s="103" t="s">
        <v>473</v>
      </c>
      <c r="BB137" s="10">
        <v>165993</v>
      </c>
      <c r="BF137" s="252"/>
    </row>
    <row r="138" spans="51:58" ht="12.75">
      <c r="AY138" s="103" t="s">
        <v>54</v>
      </c>
      <c r="AZ138" s="103" t="s">
        <v>55</v>
      </c>
      <c r="BA138" s="103" t="s">
        <v>294</v>
      </c>
      <c r="BB138" s="10">
        <v>145889</v>
      </c>
      <c r="BE138" s="70"/>
      <c r="BF138" s="239"/>
    </row>
    <row r="139" spans="51:58" ht="12.75">
      <c r="AY139" s="103" t="s">
        <v>75</v>
      </c>
      <c r="AZ139" s="103" t="s">
        <v>349</v>
      </c>
      <c r="BA139" s="103" t="s">
        <v>294</v>
      </c>
      <c r="BB139" s="10">
        <v>267393</v>
      </c>
      <c r="BE139" s="237"/>
      <c r="BF139" s="238"/>
    </row>
    <row r="140" spans="51:58" ht="12.75">
      <c r="AY140" s="103" t="s">
        <v>201</v>
      </c>
      <c r="AZ140" s="103" t="s">
        <v>202</v>
      </c>
      <c r="BA140" s="103" t="s">
        <v>473</v>
      </c>
      <c r="BB140" s="10">
        <v>232551</v>
      </c>
      <c r="BE140" s="70"/>
      <c r="BF140" s="239"/>
    </row>
    <row r="141" spans="51:58" ht="12.75">
      <c r="AY141" s="103" t="s">
        <v>167</v>
      </c>
      <c r="AZ141" s="103" t="s">
        <v>168</v>
      </c>
      <c r="BA141" s="103" t="s">
        <v>473</v>
      </c>
      <c r="BB141" s="10">
        <v>350958</v>
      </c>
      <c r="BE141" s="70"/>
      <c r="BF141" s="239"/>
    </row>
    <row r="142" spans="51:58" ht="12.75">
      <c r="AY142" s="103" t="s">
        <v>153</v>
      </c>
      <c r="AZ142" s="103" t="s">
        <v>154</v>
      </c>
      <c r="BA142" s="103" t="s">
        <v>294</v>
      </c>
      <c r="BB142" s="10">
        <v>265654</v>
      </c>
      <c r="BE142" s="70"/>
      <c r="BF142" s="241"/>
    </row>
    <row r="143" spans="51:58" ht="12.75">
      <c r="AY143" s="103" t="s">
        <v>181</v>
      </c>
      <c r="AZ143" s="103" t="s">
        <v>182</v>
      </c>
      <c r="BA143" s="103" t="s">
        <v>294</v>
      </c>
      <c r="BB143" s="10">
        <v>284466</v>
      </c>
      <c r="BE143" s="70"/>
      <c r="BF143" s="249"/>
    </row>
    <row r="144" spans="51:58" ht="12.75">
      <c r="AY144" s="103" t="s">
        <v>146</v>
      </c>
      <c r="AZ144" s="103" t="s">
        <v>147</v>
      </c>
      <c r="BA144" s="103" t="s">
        <v>294</v>
      </c>
      <c r="BB144" s="10">
        <v>319933</v>
      </c>
      <c r="BE144" s="70"/>
      <c r="BF144" s="241"/>
    </row>
    <row r="145" spans="51:58" ht="12.75">
      <c r="AY145" s="103" t="s">
        <v>111</v>
      </c>
      <c r="AZ145" s="103" t="s">
        <v>112</v>
      </c>
      <c r="BA145" s="103" t="s">
        <v>294</v>
      </c>
      <c r="BB145" s="10">
        <v>192336</v>
      </c>
      <c r="BE145" s="248"/>
      <c r="BF145" s="249"/>
    </row>
    <row r="146" spans="51:58" ht="12.75">
      <c r="AY146" s="103" t="s">
        <v>237</v>
      </c>
      <c r="AZ146" s="103" t="s">
        <v>238</v>
      </c>
      <c r="BA146" s="103" t="s">
        <v>294</v>
      </c>
      <c r="BB146" s="10">
        <v>548313</v>
      </c>
      <c r="BF146" s="252"/>
    </row>
    <row r="147" spans="51:58" ht="12.75">
      <c r="AY147" s="103" t="s">
        <v>247</v>
      </c>
      <c r="AZ147" s="103" t="s">
        <v>248</v>
      </c>
      <c r="BA147" s="103" t="s">
        <v>294</v>
      </c>
      <c r="BB147" s="10">
        <v>287229</v>
      </c>
      <c r="BF147" s="252"/>
    </row>
    <row r="148" spans="51:58" ht="12.75">
      <c r="AY148" s="103" t="s">
        <v>222</v>
      </c>
      <c r="AZ148" s="103" t="s">
        <v>396</v>
      </c>
      <c r="BA148" s="103" t="s">
        <v>473</v>
      </c>
      <c r="BB148" s="10">
        <v>707573</v>
      </c>
      <c r="BF148" s="252"/>
    </row>
    <row r="149" spans="51:58" ht="12.75">
      <c r="AY149" s="103" t="s">
        <v>218</v>
      </c>
      <c r="AZ149" s="103" t="s">
        <v>219</v>
      </c>
      <c r="BA149" s="103" t="s">
        <v>473</v>
      </c>
      <c r="BB149" s="10">
        <v>825533</v>
      </c>
      <c r="BE149" s="248"/>
      <c r="BF149" s="249"/>
    </row>
    <row r="150" spans="51:58" ht="12.75">
      <c r="AY150" s="103" t="s">
        <v>196</v>
      </c>
      <c r="AZ150" s="103" t="s">
        <v>197</v>
      </c>
      <c r="BA150" s="103" t="s">
        <v>294</v>
      </c>
      <c r="BB150" s="10">
        <v>259945</v>
      </c>
      <c r="BF150" s="252"/>
    </row>
    <row r="151" spans="51:58" ht="12.75">
      <c r="AY151" s="103" t="s">
        <v>138</v>
      </c>
      <c r="AZ151" s="103" t="s">
        <v>139</v>
      </c>
      <c r="BA151" s="103" t="s">
        <v>294</v>
      </c>
      <c r="BB151" s="10">
        <v>246573</v>
      </c>
      <c r="BF151" s="252"/>
    </row>
    <row r="152" spans="51:58" ht="12.75">
      <c r="AY152" s="103" t="s">
        <v>266</v>
      </c>
      <c r="AZ152" s="103" t="s">
        <v>267</v>
      </c>
      <c r="BA152" s="103" t="s">
        <v>473</v>
      </c>
      <c r="BB152" s="10">
        <v>462395</v>
      </c>
      <c r="BE152" s="250"/>
      <c r="BF152" s="239"/>
    </row>
    <row r="153" spans="51:58" ht="12.75">
      <c r="AY153" s="103" t="s">
        <v>191</v>
      </c>
      <c r="AZ153" s="103" t="s">
        <v>192</v>
      </c>
      <c r="BA153" s="103" t="s">
        <v>294</v>
      </c>
      <c r="BB153" s="10">
        <v>332176</v>
      </c>
      <c r="BF153" s="252"/>
    </row>
    <row r="154" spans="51:58" ht="12.75">
      <c r="AY154" s="103" t="s">
        <v>161</v>
      </c>
      <c r="AZ154" s="103" t="s">
        <v>383</v>
      </c>
      <c r="BA154" s="103" t="s">
        <v>294</v>
      </c>
      <c r="BB154" s="10">
        <v>246213</v>
      </c>
      <c r="BE154" s="237"/>
      <c r="BF154" s="238"/>
    </row>
    <row r="155" spans="51:58" ht="12.75">
      <c r="AY155" s="103" t="s">
        <v>235</v>
      </c>
      <c r="AZ155" s="103" t="s">
        <v>236</v>
      </c>
      <c r="BA155" s="103" t="s">
        <v>473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484</v>
      </c>
      <c r="B3" s="56" t="s">
        <v>356</v>
      </c>
      <c r="C3" s="56" t="s">
        <v>24</v>
      </c>
    </row>
    <row r="4" spans="1:2" ht="12.75">
      <c r="A4" s="76">
        <v>1</v>
      </c>
      <c r="B4" s="78" t="s">
        <v>90</v>
      </c>
    </row>
    <row r="5" ht="12.75">
      <c r="A5" s="280" t="s">
        <v>484</v>
      </c>
    </row>
    <row r="6" ht="12.75">
      <c r="A6" s="280" t="s">
        <v>479</v>
      </c>
    </row>
    <row r="7" ht="12.75">
      <c r="A7" s="280" t="s">
        <v>481</v>
      </c>
    </row>
    <row r="8" ht="12.75">
      <c r="A8" s="280" t="s">
        <v>487</v>
      </c>
    </row>
    <row r="9" ht="12.75">
      <c r="A9" s="280" t="s">
        <v>477</v>
      </c>
    </row>
    <row r="10" ht="12.75">
      <c r="A10" s="280" t="s">
        <v>480</v>
      </c>
    </row>
    <row r="11" ht="12.75">
      <c r="A11" s="280" t="s">
        <v>486</v>
      </c>
    </row>
    <row r="12" ht="12.75">
      <c r="A12" s="280" t="s">
        <v>483</v>
      </c>
    </row>
    <row r="13" ht="12.75">
      <c r="A13" s="280" t="s">
        <v>485</v>
      </c>
    </row>
    <row r="14" ht="12.75">
      <c r="A14" s="280" t="s">
        <v>482</v>
      </c>
    </row>
    <row r="15" ht="12.75">
      <c r="A15" s="280" t="s">
        <v>478</v>
      </c>
    </row>
    <row r="16" ht="12.75">
      <c r="A16" s="280"/>
    </row>
    <row r="17" ht="12.75">
      <c r="A17" s="280"/>
    </row>
    <row r="18" ht="12.75">
      <c r="A18" s="280"/>
    </row>
    <row r="19" ht="12.75">
      <c r="A19" s="280"/>
    </row>
    <row r="20" ht="12.75">
      <c r="A20" s="280"/>
    </row>
    <row r="21" ht="12.75">
      <c r="A21" s="280"/>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